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dezmuseum.sharepoint.com/sites/ValdezMuseum/Shared Documents/2026 Board Materials/July 2026/"/>
    </mc:Choice>
  </mc:AlternateContent>
  <xr:revisionPtr revIDLastSave="0" documentId="8_{C1AC2E5D-F066-4C1E-B50D-C75FAD3075C2}" xr6:coauthVersionLast="47" xr6:coauthVersionMax="47" xr10:uidLastSave="{00000000-0000-0000-0000-000000000000}"/>
  <bookViews>
    <workbookView xWindow="2070" yWindow="2070" windowWidth="21750" windowHeight="12780" activeTab="3" xr2:uid="{00000000-000D-0000-FFFF-FFFF00000000}"/>
  </bookViews>
  <sheets>
    <sheet name="Balance Sheet" sheetId="1" r:id="rId1"/>
    <sheet name="Activity" sheetId="2" r:id="rId2"/>
    <sheet name="Budget vs. Actuals" sheetId="3" r:id="rId3"/>
    <sheet name="By Program" sheetId="4" r:id="rId4"/>
    <sheet name="General Ledge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4" l="1"/>
  <c r="Q9" i="4"/>
  <c r="Q10" i="4"/>
  <c r="B11" i="4"/>
  <c r="C11" i="4"/>
  <c r="Q11" i="4" s="1"/>
  <c r="D11" i="4"/>
  <c r="D25" i="4" s="1"/>
  <c r="D29" i="4" s="1"/>
  <c r="E11" i="4"/>
  <c r="F11" i="4"/>
  <c r="G11" i="4"/>
  <c r="G25" i="4" s="1"/>
  <c r="G29" i="4" s="1"/>
  <c r="G61" i="4" s="1"/>
  <c r="G62" i="4" s="1"/>
  <c r="H11" i="4"/>
  <c r="I11" i="4"/>
  <c r="I25" i="4" s="1"/>
  <c r="I29" i="4" s="1"/>
  <c r="J11" i="4"/>
  <c r="J25" i="4" s="1"/>
  <c r="J29" i="4" s="1"/>
  <c r="K11" i="4"/>
  <c r="K25" i="4" s="1"/>
  <c r="K29" i="4" s="1"/>
  <c r="L11" i="4"/>
  <c r="L25" i="4" s="1"/>
  <c r="M11" i="4"/>
  <c r="N11" i="4"/>
  <c r="N25" i="4" s="1"/>
  <c r="O11" i="4"/>
  <c r="P11" i="4"/>
  <c r="Q13" i="4"/>
  <c r="M14" i="4"/>
  <c r="P14" i="4"/>
  <c r="Q14" i="4" s="1"/>
  <c r="B15" i="4"/>
  <c r="C15" i="4"/>
  <c r="C25" i="4" s="1"/>
  <c r="C29" i="4" s="1"/>
  <c r="D15" i="4"/>
  <c r="E15" i="4"/>
  <c r="E25" i="4" s="1"/>
  <c r="E29" i="4" s="1"/>
  <c r="E61" i="4" s="1"/>
  <c r="E62" i="4" s="1"/>
  <c r="F15" i="4"/>
  <c r="F25" i="4" s="1"/>
  <c r="F29" i="4" s="1"/>
  <c r="G15" i="4"/>
  <c r="H15" i="4"/>
  <c r="H25" i="4" s="1"/>
  <c r="H29" i="4" s="1"/>
  <c r="I15" i="4"/>
  <c r="J15" i="4"/>
  <c r="K15" i="4"/>
  <c r="L15" i="4"/>
  <c r="M15" i="4" s="1"/>
  <c r="P15" i="4" s="1"/>
  <c r="N15" i="4"/>
  <c r="O15" i="4"/>
  <c r="Q17" i="4"/>
  <c r="Q18" i="4"/>
  <c r="Q19" i="4"/>
  <c r="Q20" i="4"/>
  <c r="B21" i="4"/>
  <c r="Q21" i="4" s="1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2" i="4"/>
  <c r="Q23" i="4"/>
  <c r="P24" i="4"/>
  <c r="Q24" i="4" s="1"/>
  <c r="B25" i="4"/>
  <c r="B29" i="4" s="1"/>
  <c r="O25" i="4"/>
  <c r="O29" i="4" s="1"/>
  <c r="P27" i="4"/>
  <c r="Q27" i="4" s="1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 s="1"/>
  <c r="I32" i="4"/>
  <c r="M32" i="4"/>
  <c r="P32" i="4" s="1"/>
  <c r="Q32" i="4" s="1"/>
  <c r="I33" i="4"/>
  <c r="M33" i="4"/>
  <c r="P33" i="4" s="1"/>
  <c r="Q33" i="4" s="1"/>
  <c r="I34" i="4"/>
  <c r="M34" i="4"/>
  <c r="P34" i="4"/>
  <c r="Q34" i="4"/>
  <c r="I35" i="4"/>
  <c r="M35" i="4"/>
  <c r="P35" i="4"/>
  <c r="Q35" i="4" s="1"/>
  <c r="B36" i="4"/>
  <c r="C36" i="4"/>
  <c r="D36" i="4"/>
  <c r="E36" i="4"/>
  <c r="F36" i="4"/>
  <c r="G36" i="4"/>
  <c r="H36" i="4"/>
  <c r="I36" i="4"/>
  <c r="J36" i="4"/>
  <c r="J60" i="4" s="1"/>
  <c r="K36" i="4"/>
  <c r="K60" i="4" s="1"/>
  <c r="L36" i="4"/>
  <c r="L60" i="4" s="1"/>
  <c r="M36" i="4"/>
  <c r="N36" i="4"/>
  <c r="N60" i="4" s="1"/>
  <c r="O36" i="4"/>
  <c r="O60" i="4" s="1"/>
  <c r="P36" i="4"/>
  <c r="Q36" i="4" s="1"/>
  <c r="Q38" i="4"/>
  <c r="M39" i="4"/>
  <c r="P39" i="4" s="1"/>
  <c r="Q39" i="4" s="1"/>
  <c r="Q40" i="4"/>
  <c r="P41" i="4"/>
  <c r="Q41" i="4" s="1"/>
  <c r="B42" i="4"/>
  <c r="Q42" i="4" s="1"/>
  <c r="C42" i="4"/>
  <c r="D42" i="4"/>
  <c r="E42" i="4"/>
  <c r="F42" i="4"/>
  <c r="F60" i="4" s="1"/>
  <c r="G42" i="4"/>
  <c r="H42" i="4"/>
  <c r="H60" i="4" s="1"/>
  <c r="I60" i="4" s="1"/>
  <c r="I42" i="4"/>
  <c r="J42" i="4"/>
  <c r="K42" i="4"/>
  <c r="L42" i="4"/>
  <c r="M42" i="4" s="1"/>
  <c r="N42" i="4"/>
  <c r="O42" i="4"/>
  <c r="P42" i="4" s="1"/>
  <c r="I43" i="4"/>
  <c r="M43" i="4"/>
  <c r="P43" i="4" s="1"/>
  <c r="Q43" i="4" s="1"/>
  <c r="Q45" i="4"/>
  <c r="Q46" i="4"/>
  <c r="Q47" i="4"/>
  <c r="Q48" i="4"/>
  <c r="Q49" i="4"/>
  <c r="I50" i="4"/>
  <c r="P50" i="4" s="1"/>
  <c r="Q50" i="4" s="1"/>
  <c r="M51" i="4"/>
  <c r="P51" i="4"/>
  <c r="Q51" i="4" s="1"/>
  <c r="M52" i="4"/>
  <c r="P52" i="4"/>
  <c r="Q52" i="4" s="1"/>
  <c r="P53" i="4"/>
  <c r="Q53" i="4"/>
  <c r="P54" i="4"/>
  <c r="Q54" i="4"/>
  <c r="Q55" i="4"/>
  <c r="I56" i="4"/>
  <c r="M56" i="4"/>
  <c r="P56" i="4" s="1"/>
  <c r="Q56" i="4" s="1"/>
  <c r="I57" i="4"/>
  <c r="M57" i="4"/>
  <c r="P57" i="4"/>
  <c r="Q57" i="4" s="1"/>
  <c r="M58" i="4"/>
  <c r="P58" i="4"/>
  <c r="Q58" i="4" s="1"/>
  <c r="B59" i="4"/>
  <c r="Q59" i="4" s="1"/>
  <c r="C59" i="4"/>
  <c r="C60" i="4" s="1"/>
  <c r="D59" i="4"/>
  <c r="D60" i="4" s="1"/>
  <c r="E59" i="4"/>
  <c r="E60" i="4" s="1"/>
  <c r="F59" i="4"/>
  <c r="G59" i="4"/>
  <c r="H59" i="4"/>
  <c r="I59" i="4" s="1"/>
  <c r="J59" i="4"/>
  <c r="K59" i="4"/>
  <c r="L59" i="4"/>
  <c r="M59" i="4"/>
  <c r="P59" i="4" s="1"/>
  <c r="N59" i="4"/>
  <c r="O59" i="4"/>
  <c r="G60" i="4"/>
  <c r="C8" i="3"/>
  <c r="D8" i="3"/>
  <c r="E8" i="3"/>
  <c r="B9" i="3"/>
  <c r="D9" i="3"/>
  <c r="E9" i="3"/>
  <c r="B10" i="3"/>
  <c r="D10" i="3"/>
  <c r="E10" i="3"/>
  <c r="B11" i="3"/>
  <c r="D11" i="3"/>
  <c r="E11" i="3"/>
  <c r="B12" i="3"/>
  <c r="B28" i="3" s="1"/>
  <c r="C12" i="3"/>
  <c r="C28" i="3" s="1"/>
  <c r="D12" i="3"/>
  <c r="E12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D17" i="3"/>
  <c r="E17" i="3"/>
  <c r="B18" i="3"/>
  <c r="C18" i="3"/>
  <c r="D18" i="3" s="1"/>
  <c r="E18" i="3"/>
  <c r="B19" i="3"/>
  <c r="C19" i="3"/>
  <c r="D19" i="3"/>
  <c r="E19" i="3"/>
  <c r="B20" i="3"/>
  <c r="B24" i="3" s="1"/>
  <c r="C20" i="3"/>
  <c r="C24" i="3" s="1"/>
  <c r="E24" i="3" s="1"/>
  <c r="D20" i="3"/>
  <c r="E20" i="3"/>
  <c r="C21" i="3"/>
  <c r="D21" i="3"/>
  <c r="E21" i="3"/>
  <c r="C22" i="3"/>
  <c r="D22" i="3" s="1"/>
  <c r="B23" i="3"/>
  <c r="C23" i="3"/>
  <c r="D23" i="3"/>
  <c r="E23" i="3"/>
  <c r="B25" i="3"/>
  <c r="D25" i="3"/>
  <c r="E25" i="3"/>
  <c r="B26" i="3"/>
  <c r="C26" i="3"/>
  <c r="E26" i="3" s="1"/>
  <c r="D26" i="3"/>
  <c r="B27" i="3"/>
  <c r="C27" i="3"/>
  <c r="D27" i="3"/>
  <c r="E27" i="3"/>
  <c r="B30" i="3"/>
  <c r="D30" i="3"/>
  <c r="E30" i="3"/>
  <c r="B31" i="3"/>
  <c r="C31" i="3"/>
  <c r="D31" i="3"/>
  <c r="E31" i="3"/>
  <c r="D34" i="3"/>
  <c r="E34" i="3"/>
  <c r="B35" i="3"/>
  <c r="C35" i="3"/>
  <c r="C39" i="3" s="1"/>
  <c r="E35" i="3"/>
  <c r="B36" i="3"/>
  <c r="B39" i="3" s="1"/>
  <c r="C36" i="3"/>
  <c r="D36" i="3"/>
  <c r="E36" i="3"/>
  <c r="B37" i="3"/>
  <c r="D37" i="3" s="1"/>
  <c r="C37" i="3"/>
  <c r="E37" i="3" s="1"/>
  <c r="B38" i="3"/>
  <c r="C38" i="3"/>
  <c r="D38" i="3"/>
  <c r="E38" i="3"/>
  <c r="D40" i="3"/>
  <c r="E40" i="3"/>
  <c r="B41" i="3"/>
  <c r="C41" i="3"/>
  <c r="D41" i="3"/>
  <c r="E41" i="3"/>
  <c r="B42" i="3"/>
  <c r="D42" i="3"/>
  <c r="E42" i="3"/>
  <c r="B43" i="3"/>
  <c r="C43" i="3"/>
  <c r="D43" i="3"/>
  <c r="E43" i="3"/>
  <c r="B44" i="3"/>
  <c r="C44" i="3"/>
  <c r="D44" i="3"/>
  <c r="E44" i="3"/>
  <c r="C45" i="3"/>
  <c r="D45" i="3"/>
  <c r="E45" i="3"/>
  <c r="B46" i="3"/>
  <c r="D46" i="3" s="1"/>
  <c r="C46" i="3"/>
  <c r="E46" i="3" s="1"/>
  <c r="B47" i="3"/>
  <c r="C47" i="3"/>
  <c r="D47" i="3"/>
  <c r="E47" i="3"/>
  <c r="C48" i="3"/>
  <c r="D48" i="3"/>
  <c r="E48" i="3"/>
  <c r="C49" i="3"/>
  <c r="C65" i="3" s="1"/>
  <c r="D49" i="3"/>
  <c r="E49" i="3"/>
  <c r="B50" i="3"/>
  <c r="B65" i="3" s="1"/>
  <c r="D65" i="3" s="1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D59" i="3"/>
  <c r="E59" i="3"/>
  <c r="B60" i="3"/>
  <c r="D60" i="3"/>
  <c r="E60" i="3"/>
  <c r="C61" i="3"/>
  <c r="D61" i="3"/>
  <c r="E61" i="3"/>
  <c r="B62" i="3"/>
  <c r="C62" i="3"/>
  <c r="D62" i="3"/>
  <c r="E62" i="3"/>
  <c r="B63" i="3"/>
  <c r="C63" i="3"/>
  <c r="E63" i="3" s="1"/>
  <c r="D63" i="3"/>
  <c r="B64" i="3"/>
  <c r="C64" i="3"/>
  <c r="D64" i="3"/>
  <c r="E64" i="3"/>
  <c r="B13" i="2"/>
  <c r="C13" i="2"/>
  <c r="B18" i="2"/>
  <c r="C18" i="2"/>
  <c r="B26" i="2"/>
  <c r="C26" i="2"/>
  <c r="B33" i="2"/>
  <c r="C33" i="2"/>
  <c r="C34" i="2" s="1"/>
  <c r="B34" i="2"/>
  <c r="B39" i="2"/>
  <c r="C39" i="2"/>
  <c r="B43" i="2"/>
  <c r="C43" i="2"/>
  <c r="B44" i="2"/>
  <c r="C44" i="2"/>
  <c r="B49" i="2"/>
  <c r="C49" i="2"/>
  <c r="B50" i="2"/>
  <c r="C50" i="2"/>
  <c r="B57" i="2"/>
  <c r="C57" i="2"/>
  <c r="B63" i="2"/>
  <c r="C63" i="2"/>
  <c r="B69" i="2"/>
  <c r="B94" i="2" s="1"/>
  <c r="B117" i="2" s="1"/>
  <c r="B118" i="2" s="1"/>
  <c r="B119" i="2" s="1"/>
  <c r="C69" i="2"/>
  <c r="C94" i="2" s="1"/>
  <c r="C117" i="2" s="1"/>
  <c r="C118" i="2" s="1"/>
  <c r="C119" i="2" s="1"/>
  <c r="B74" i="2"/>
  <c r="C74" i="2"/>
  <c r="B81" i="2"/>
  <c r="C81" i="2"/>
  <c r="B85" i="2"/>
  <c r="C85" i="2"/>
  <c r="B100" i="2"/>
  <c r="C100" i="2"/>
  <c r="B107" i="2"/>
  <c r="C107" i="2"/>
  <c r="B110" i="2"/>
  <c r="C110" i="2"/>
  <c r="B116" i="2"/>
  <c r="C116" i="2"/>
  <c r="C89" i="1"/>
  <c r="B89" i="1"/>
  <c r="C79" i="1"/>
  <c r="B79" i="1"/>
  <c r="C70" i="1"/>
  <c r="C80" i="1" s="1"/>
  <c r="B70" i="1"/>
  <c r="B80" i="1" s="1"/>
  <c r="C58" i="1"/>
  <c r="B58" i="1"/>
  <c r="C53" i="1"/>
  <c r="C54" i="1" s="1"/>
  <c r="C81" i="1" s="1"/>
  <c r="C82" i="1" s="1"/>
  <c r="C90" i="1" s="1"/>
  <c r="B53" i="1"/>
  <c r="B54" i="1" s="1"/>
  <c r="B81" i="1" s="1"/>
  <c r="B82" i="1" s="1"/>
  <c r="B90" i="1" s="1"/>
  <c r="C45" i="1"/>
  <c r="B45" i="1"/>
  <c r="C40" i="1"/>
  <c r="C41" i="1" s="1"/>
  <c r="B40" i="1"/>
  <c r="B41" i="1" s="1"/>
  <c r="C28" i="1"/>
  <c r="C30" i="1" s="1"/>
  <c r="B28" i="1"/>
  <c r="B30" i="1" s="1"/>
  <c r="C20" i="1"/>
  <c r="B20" i="1"/>
  <c r="C16" i="1"/>
  <c r="B16" i="1"/>
  <c r="M60" i="4" l="1"/>
  <c r="H61" i="4"/>
  <c r="F61" i="4"/>
  <c r="F62" i="4" s="1"/>
  <c r="B61" i="4"/>
  <c r="M25" i="4"/>
  <c r="L29" i="4"/>
  <c r="P25" i="4"/>
  <c r="Q25" i="4" s="1"/>
  <c r="N29" i="4"/>
  <c r="N61" i="4" s="1"/>
  <c r="N62" i="4" s="1"/>
  <c r="J61" i="4"/>
  <c r="J62" i="4" s="1"/>
  <c r="D61" i="4"/>
  <c r="D62" i="4" s="1"/>
  <c r="K61" i="4"/>
  <c r="K62" i="4" s="1"/>
  <c r="O61" i="4"/>
  <c r="C61" i="4"/>
  <c r="C62" i="4" s="1"/>
  <c r="P60" i="4"/>
  <c r="B60" i="4"/>
  <c r="Q15" i="4"/>
  <c r="C32" i="3"/>
  <c r="E28" i="3"/>
  <c r="B32" i="3"/>
  <c r="D28" i="3"/>
  <c r="B66" i="3"/>
  <c r="D39" i="3"/>
  <c r="E39" i="3"/>
  <c r="C66" i="3"/>
  <c r="E66" i="3" s="1"/>
  <c r="D24" i="3"/>
  <c r="E65" i="3"/>
  <c r="D35" i="3"/>
  <c r="E22" i="3"/>
  <c r="B31" i="1"/>
  <c r="B46" i="1" s="1"/>
  <c r="C31" i="1"/>
  <c r="C46" i="1" s="1"/>
  <c r="O62" i="4" l="1"/>
  <c r="L61" i="4"/>
  <c r="M29" i="4"/>
  <c r="P29" i="4" s="1"/>
  <c r="Q29" i="4" s="1"/>
  <c r="Q60" i="4"/>
  <c r="H62" i="4"/>
  <c r="I62" i="4" s="1"/>
  <c r="I61" i="4"/>
  <c r="B62" i="4"/>
  <c r="D66" i="3"/>
  <c r="B67" i="3"/>
  <c r="D32" i="3"/>
  <c r="E32" i="3"/>
  <c r="C67" i="3"/>
  <c r="M61" i="4" l="1"/>
  <c r="P61" i="4" s="1"/>
  <c r="Q61" i="4" s="1"/>
  <c r="L62" i="4"/>
  <c r="M62" i="4" s="1"/>
  <c r="P62" i="4"/>
  <c r="Q62" i="4" s="1"/>
  <c r="E67" i="3"/>
  <c r="C68" i="3"/>
  <c r="B68" i="3"/>
  <c r="D68" i="3" s="1"/>
  <c r="D67" i="3"/>
  <c r="E68" i="3" l="1"/>
</calcChain>
</file>

<file path=xl/sharedStrings.xml><?xml version="1.0" encoding="utf-8"?>
<sst xmlns="http://schemas.openxmlformats.org/spreadsheetml/2006/main" count="5114" uniqueCount="850">
  <si>
    <t>VALDEZ MUSEUM &amp; HISTORICAL ARCHIVE ASSOCIATION, IN</t>
  </si>
  <si>
    <t>Statement of Financial Position</t>
  </si>
  <si>
    <t>As of Jun 30, 2026</t>
  </si>
  <si>
    <t>Assets</t>
  </si>
  <si>
    <t>Current Assets</t>
  </si>
  <si>
    <t>Bank Accounts</t>
  </si>
  <si>
    <t>1003 WF Merchant Services Account</t>
  </si>
  <si>
    <t>1022 10950 Cash in Drawer</t>
  </si>
  <si>
    <t>1024 1st National Savings</t>
  </si>
  <si>
    <t>1025 1st National  Operating</t>
  </si>
  <si>
    <t>1026 1st National Gaming</t>
  </si>
  <si>
    <t>1027 CD 61215021 -Phyllis Irish</t>
  </si>
  <si>
    <t>Total for Bank Accounts</t>
  </si>
  <si>
    <t>Accounts Receivable</t>
  </si>
  <si>
    <t>102 Accounts Receivable (AR)</t>
  </si>
  <si>
    <t>1501 Accounts Receivable</t>
  </si>
  <si>
    <t>Total for Accounts Receivable</t>
  </si>
  <si>
    <t>Other Current Assets</t>
  </si>
  <si>
    <t>1017 Undeposited Funds</t>
  </si>
  <si>
    <t>2002 1120 Inventory Asset</t>
  </si>
  <si>
    <t>2501 Prepaid Insurance</t>
  </si>
  <si>
    <t>8132 Cash Reserves</t>
  </si>
  <si>
    <t>Cash on Hand</t>
  </si>
  <si>
    <t>1016 Petty Cash</t>
  </si>
  <si>
    <t>Total for Cash on Hand</t>
  </si>
  <si>
    <t>Credit Card Receivables</t>
  </si>
  <si>
    <t>Total for Other Current Assets</t>
  </si>
  <si>
    <t>Total for Current Assets</t>
  </si>
  <si>
    <t>Fixed Assets</t>
  </si>
  <si>
    <t>4000 Construction in Progress</t>
  </si>
  <si>
    <t>4001 Fixed Assets</t>
  </si>
  <si>
    <t>4001.1 Office Equipment</t>
  </si>
  <si>
    <t>4002 Lifeboat Shelter Asset</t>
  </si>
  <si>
    <t>4003 Accumulated Depreciation-Assets</t>
  </si>
  <si>
    <t>4004 Accumulated Deprciation Shelter</t>
  </si>
  <si>
    <t>4005 Accumulated Deprec - Vehic/Othe</t>
  </si>
  <si>
    <t>Total for 4001 Fixed Assets</t>
  </si>
  <si>
    <t>Total for Fixed Assets</t>
  </si>
  <si>
    <t>Other Assets</t>
  </si>
  <si>
    <t>1502 Museum Endowment Fund</t>
  </si>
  <si>
    <t>Merchandise Inventory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</si>
  <si>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</si>
  <si>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</si>
  <si>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</si>
  <si>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</si>
  <si>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</si>
  <si>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</si>
  <si>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5501 2000 Accounts Payable</t>
  </si>
  <si>
    <t>Raffle Proceeds Payable</t>
  </si>
  <si>
    <t>Total for 5501 2000 Accounts Payable</t>
  </si>
  <si>
    <t>Total for Accounts Payable</t>
  </si>
  <si>
    <t>Credit Cards</t>
  </si>
  <si>
    <t>5505 Bank of America  Business Card</t>
  </si>
  <si>
    <t>5506 Ramp Card</t>
  </si>
  <si>
    <t>Total for Credit Cards</t>
  </si>
  <si>
    <t>Other Current Liabilities</t>
  </si>
  <si>
    <t>25100 Employee Tips Payable</t>
  </si>
  <si>
    <t>403(b) Payable</t>
  </si>
  <si>
    <t>5504 24700 Customer Deposits</t>
  </si>
  <si>
    <t>6002 Leave Payable</t>
  </si>
  <si>
    <t>6003 2100 Payroll Liabilities</t>
  </si>
  <si>
    <t>6004 ESC Tax Payable</t>
  </si>
  <si>
    <t>6005 Accrued Payroll</t>
  </si>
  <si>
    <t>6006 Federal Withholding Payable</t>
  </si>
  <si>
    <t>6007 Health Insurance Payable</t>
  </si>
  <si>
    <t>6008 FICA Payable</t>
  </si>
  <si>
    <t>Total for 6003 2100 Payroll Liabilities</t>
  </si>
  <si>
    <t>6601 Deferred Revenue</t>
  </si>
  <si>
    <t>Direct Deposit Payable</t>
  </si>
  <si>
    <t>Payroll Liabilities</t>
  </si>
  <si>
    <t>403(b) Employee</t>
  </si>
  <si>
    <t>AK Unemployment Tax</t>
  </si>
  <si>
    <t>Federal Taxes (941/944)</t>
  </si>
  <si>
    <t>Health Insurance</t>
  </si>
  <si>
    <t>Health Insurance-Employee</t>
  </si>
  <si>
    <t>Total for Payroll Liabilities</t>
  </si>
  <si>
    <t>Total for Other Current Liabilities</t>
  </si>
  <si>
    <t>Total for Current Liabilities</t>
  </si>
  <si>
    <t>Total for Liabilities</t>
  </si>
  <si>
    <t>Equity</t>
  </si>
  <si>
    <t>3000 Opening Bal Equity</t>
  </si>
  <si>
    <t>7503 Museum Endowment Fund Equity</t>
  </si>
  <si>
    <t>8079 Contributed Capital</t>
  </si>
  <si>
    <t>7502 3900 Retained Earnings</t>
  </si>
  <si>
    <t>Net Revenue</t>
  </si>
  <si>
    <t>Total for Equity</t>
  </si>
  <si>
    <t>Total for Liabilities and Equity</t>
  </si>
  <si>
    <t/>
  </si>
  <si>
    <t>Total</t>
  </si>
  <si>
    <t>As of Jun 30, 2025 (PY)</t>
  </si>
  <si>
    <t>Accrual Basis Thursday, July 09, 2026 07:46 PM GMTZ</t>
  </si>
  <si>
    <t>Accrual Basis Thursday, July 09, 2026 07:52 PM GMTZ</t>
  </si>
  <si>
    <t>Net Operating Revenue</t>
  </si>
  <si>
    <t>Total for Expenditures</t>
  </si>
  <si>
    <t>Total for Exhibits</t>
  </si>
  <si>
    <t>8052 Temporary Exhibits (deleted)</t>
  </si>
  <si>
    <t>8051 Permanent Exhibits (deleted)</t>
  </si>
  <si>
    <t>Exhibits</t>
  </si>
  <si>
    <t>9002 Freight and Shipping Costs (deleted)</t>
  </si>
  <si>
    <t>8145 Licenses and Permits</t>
  </si>
  <si>
    <t>Total for 8140 Equipment</t>
  </si>
  <si>
    <t>8170 Office Equipment</t>
  </si>
  <si>
    <t>8140 Equipment</t>
  </si>
  <si>
    <t>Total for 8138 Credit Card Fees</t>
  </si>
  <si>
    <t>Square Fees</t>
  </si>
  <si>
    <t>QuickBooks Payments Fees</t>
  </si>
  <si>
    <t>8138 Credit Card Fees</t>
  </si>
  <si>
    <t>8133 Board Expense</t>
  </si>
  <si>
    <t>8113 Vehicle Expense</t>
  </si>
  <si>
    <t>8058 Public Programs</t>
  </si>
  <si>
    <t>Total for 8040 Collections</t>
  </si>
  <si>
    <t>8042 Collections Supplies</t>
  </si>
  <si>
    <t>8040 Collections</t>
  </si>
  <si>
    <t>8039 Education</t>
  </si>
  <si>
    <t>8036.1 Membership</t>
  </si>
  <si>
    <t>8036 Fundraising Expenses</t>
  </si>
  <si>
    <t>Total for 6300 General Expenses</t>
  </si>
  <si>
    <t>6375 Acquisition</t>
  </si>
  <si>
    <t>6370 Software</t>
  </si>
  <si>
    <t>6365 Materials</t>
  </si>
  <si>
    <t>6355 Interest Expense</t>
  </si>
  <si>
    <t>6350 Bank &amp; Service Charges</t>
  </si>
  <si>
    <t>6345 Printing and Reproduction</t>
  </si>
  <si>
    <t>6340 Dues and Subscriptions</t>
  </si>
  <si>
    <t>6335 Postage and Delivery</t>
  </si>
  <si>
    <t>Total for 6330 Office Supplies</t>
  </si>
  <si>
    <t>8127 Operating</t>
  </si>
  <si>
    <t>8126 Office Supplies (deleted)</t>
  </si>
  <si>
    <t>6330 Office Supplies</t>
  </si>
  <si>
    <t>Total for 6325 Telephone &amp; Internet</t>
  </si>
  <si>
    <t>Cell Phone (deleted)</t>
  </si>
  <si>
    <t>8122 Long Distance (deleted)</t>
  </si>
  <si>
    <t>8121 Local Service (deleted)</t>
  </si>
  <si>
    <t>8120 Internet (deleted)</t>
  </si>
  <si>
    <t>6325 Telephone &amp; Internet</t>
  </si>
  <si>
    <t>6320 Janitoral Services</t>
  </si>
  <si>
    <t>Total for 6315 Utilities</t>
  </si>
  <si>
    <t>8117 Water (deleted)</t>
  </si>
  <si>
    <t>8116 Heating Oil (deleted)</t>
  </si>
  <si>
    <t>8115 Electric (deleted)</t>
  </si>
  <si>
    <t>6315 Utilities</t>
  </si>
  <si>
    <t>Total for 6310 Insurance</t>
  </si>
  <si>
    <t>8137 Liability Insurance (deleted)</t>
  </si>
  <si>
    <t>6310 Insurance</t>
  </si>
  <si>
    <t>6307 Storage Rent</t>
  </si>
  <si>
    <t>6300 General Expenses</t>
  </si>
  <si>
    <t>6200 Travel</t>
  </si>
  <si>
    <t>Total for 6100 Professional &amp; Contract Fees</t>
  </si>
  <si>
    <t>6140 Advertising/Marketing</t>
  </si>
  <si>
    <t>6130 IT Services</t>
  </si>
  <si>
    <t>6120 Consulting</t>
  </si>
  <si>
    <t>6110 Accounting</t>
  </si>
  <si>
    <t>6100 Professional &amp; Contract Fees</t>
  </si>
  <si>
    <t>Total for 6000 Personnel Expenses</t>
  </si>
  <si>
    <t>6040 Health Insurance</t>
  </si>
  <si>
    <t>6030 403(b) - Employer</t>
  </si>
  <si>
    <t>6020 FICA Payroll Tax</t>
  </si>
  <si>
    <t>6010 Salaries &amp; Wages</t>
  </si>
  <si>
    <t>6000 Personnel Expenses</t>
  </si>
  <si>
    <t>Expenditures</t>
  </si>
  <si>
    <t>Gross Profit</t>
  </si>
  <si>
    <t>Total for Cost of Goods Sold</t>
  </si>
  <si>
    <t>8102 Gallery Commission</t>
  </si>
  <si>
    <t>5000 Cost of Goods Sold</t>
  </si>
  <si>
    <t>Cost of Goods Sold</t>
  </si>
  <si>
    <t>Total for Revenue</t>
  </si>
  <si>
    <t>Total for 8024 Earned Revenue</t>
  </si>
  <si>
    <t>Total for Service Sales</t>
  </si>
  <si>
    <t>Services</t>
  </si>
  <si>
    <t>Memberships</t>
  </si>
  <si>
    <t>Service Sales</t>
  </si>
  <si>
    <t>Total for 8025 Program Fees</t>
  </si>
  <si>
    <t>8025.1 Enrollment Fees</t>
  </si>
  <si>
    <t>8025 Program Fees</t>
  </si>
  <si>
    <t>8024 Earned Revenue</t>
  </si>
  <si>
    <t>8011 Freight paid by customer</t>
  </si>
  <si>
    <t>Total for 8003 Fund Development</t>
  </si>
  <si>
    <t>Total for 8152 Fundraising</t>
  </si>
  <si>
    <t>8023 Designated</t>
  </si>
  <si>
    <t>8152 Fundraising</t>
  </si>
  <si>
    <t>8003 Fund Development</t>
  </si>
  <si>
    <t>4800 Store Sales</t>
  </si>
  <si>
    <t>4700 Interest Income</t>
  </si>
  <si>
    <t>4600 Miscellaneous Income</t>
  </si>
  <si>
    <t>Total for 4400 Service Income</t>
  </si>
  <si>
    <t>4460 Event Income</t>
  </si>
  <si>
    <t>4450 Space Rental</t>
  </si>
  <si>
    <t>4440 Archival Fees</t>
  </si>
  <si>
    <t>4430 Admission Fees - Tour/Bulk</t>
  </si>
  <si>
    <t>4420 Admissions - General</t>
  </si>
  <si>
    <t>4410 Presenter &amp; Guide Income</t>
  </si>
  <si>
    <t>4400 Service Income</t>
  </si>
  <si>
    <t>Total for 4200 Grants</t>
  </si>
  <si>
    <t>4250 Foundations</t>
  </si>
  <si>
    <t>4240 City of Valdez</t>
  </si>
  <si>
    <t>4230 State of Alaska</t>
  </si>
  <si>
    <t>4200 Grants</t>
  </si>
  <si>
    <t>Total for 4030 Donations Income</t>
  </si>
  <si>
    <t>4036 Unrestricted</t>
  </si>
  <si>
    <t>4034 Individuals</t>
  </si>
  <si>
    <t>4033 Membership</t>
  </si>
  <si>
    <t>4032 Annual Appeal</t>
  </si>
  <si>
    <t>4030 Donations Income</t>
  </si>
  <si>
    <t>Revenue</t>
  </si>
  <si>
    <t>Jan 1 - Jun 30 2025 (PY)</t>
  </si>
  <si>
    <t>Jan 1 - Jun 30 2026</t>
  </si>
  <si>
    <t>January 1-June 30, 2026</t>
  </si>
  <si>
    <t>Statement of Activity</t>
  </si>
  <si>
    <t>Thursday, Jul 09, 2026 12:56:02 PM GMT-7 - Accrual Basis</t>
  </si>
  <si>
    <t>Total Expenditures</t>
  </si>
  <si>
    <t xml:space="preserve">   Total 6300 General Expenses</t>
  </si>
  <si>
    <t xml:space="preserve">      6375 Acquisition</t>
  </si>
  <si>
    <t xml:space="preserve">      6370 Software</t>
  </si>
  <si>
    <t xml:space="preserve">      6365 Materials</t>
  </si>
  <si>
    <t xml:space="preserve">      6360 Graphics</t>
  </si>
  <si>
    <t xml:space="preserve">      6355 Interest Expense</t>
  </si>
  <si>
    <t xml:space="preserve">      6350 Bank &amp; Service Charges</t>
  </si>
  <si>
    <t xml:space="preserve">      6345 Printing and Reproduction</t>
  </si>
  <si>
    <t xml:space="preserve">      6340 Dues and Subscriptions</t>
  </si>
  <si>
    <t xml:space="preserve">      6335 Postage and Delivery</t>
  </si>
  <si>
    <t xml:space="preserve">      6330 Office Supplies</t>
  </si>
  <si>
    <t xml:space="preserve">      6325 Telephone &amp; Internet</t>
  </si>
  <si>
    <t xml:space="preserve">      6320 Janitoral Services</t>
  </si>
  <si>
    <t xml:space="preserve">      6315 Utilities</t>
  </si>
  <si>
    <t xml:space="preserve">      6310 Insurance</t>
  </si>
  <si>
    <t xml:space="preserve">      6307 Storage Rent</t>
  </si>
  <si>
    <t xml:space="preserve">      6305 Rent</t>
  </si>
  <si>
    <t xml:space="preserve">   6300 General Expenses</t>
  </si>
  <si>
    <t xml:space="preserve">   6200 Travel</t>
  </si>
  <si>
    <t xml:space="preserve">   Total 6100 Professional &amp; Contract Fees</t>
  </si>
  <si>
    <t xml:space="preserve">      6150 Stipend/Honorarium</t>
  </si>
  <si>
    <t xml:space="preserve">      6140 Advertising/Marketing</t>
  </si>
  <si>
    <t xml:space="preserve">      6130 IT Services</t>
  </si>
  <si>
    <t xml:space="preserve">      6120 Consulting</t>
  </si>
  <si>
    <t xml:space="preserve">      6110 Accounting</t>
  </si>
  <si>
    <t xml:space="preserve">   6100 Professional &amp; Contract Fees</t>
  </si>
  <si>
    <t xml:space="preserve">   Total 6000 Personnel Expenses</t>
  </si>
  <si>
    <t xml:space="preserve">      6040 Health Insurance</t>
  </si>
  <si>
    <t xml:space="preserve">      6030 403(b) - Employer</t>
  </si>
  <si>
    <t xml:space="preserve">      6020 FICA Payroll Tax</t>
  </si>
  <si>
    <t xml:space="preserve">      6010 Salaries &amp; Wages</t>
  </si>
  <si>
    <t xml:space="preserve">   6000 Personnel Expenses</t>
  </si>
  <si>
    <t>Total Cost of Goods Sold</t>
  </si>
  <si>
    <t xml:space="preserve">   8102 Gallery Commission</t>
  </si>
  <si>
    <t>Total Revenue</t>
  </si>
  <si>
    <t xml:space="preserve">   4800 Store Sales</t>
  </si>
  <si>
    <t xml:space="preserve">   4700 Interest Income</t>
  </si>
  <si>
    <t xml:space="preserve">   4600 Miscellaneous Income</t>
  </si>
  <si>
    <t xml:space="preserve">   Total 4400 Service Income</t>
  </si>
  <si>
    <t xml:space="preserve">      4460 Event Income</t>
  </si>
  <si>
    <t xml:space="preserve">      4450 Space Rental</t>
  </si>
  <si>
    <t xml:space="preserve">      4440 Archival Fees</t>
  </si>
  <si>
    <t xml:space="preserve">      4430 Admission Fees - Tour/Bulk</t>
  </si>
  <si>
    <t xml:space="preserve">      4420 Admissions - General</t>
  </si>
  <si>
    <t xml:space="preserve">      4410 Presenter &amp; Guide Income</t>
  </si>
  <si>
    <t xml:space="preserve">   4400 Service Income</t>
  </si>
  <si>
    <t xml:space="preserve">   Total 4200 Grants</t>
  </si>
  <si>
    <t xml:space="preserve">      4250 Foundations</t>
  </si>
  <si>
    <t xml:space="preserve">      4240 City of Valdez</t>
  </si>
  <si>
    <t xml:space="preserve">   4200 Grants</t>
  </si>
  <si>
    <t xml:space="preserve">   Total 4030 Donations Income</t>
  </si>
  <si>
    <t xml:space="preserve">      4036 Unrestricted</t>
  </si>
  <si>
    <t xml:space="preserve">      4034 Individuals</t>
  </si>
  <si>
    <t xml:space="preserve">      4033 Membership</t>
  </si>
  <si>
    <t xml:space="preserve">   4030 Donations Income</t>
  </si>
  <si>
    <t>% of Budget</t>
  </si>
  <si>
    <t>over Budget</t>
  </si>
  <si>
    <t>Actual</t>
  </si>
  <si>
    <t>January - June, 2026</t>
  </si>
  <si>
    <t>Budget vs. Actuals: Budget_FY26_P&amp;L  Pro-Rated</t>
  </si>
  <si>
    <t>Pro-Rated Budget</t>
  </si>
  <si>
    <t>Accrual Basis Thursday, July 09, 2026 08:29 PM GMTZ</t>
  </si>
  <si>
    <t>Total for 03 Programs</t>
  </si>
  <si>
    <t>0306 Events</t>
  </si>
  <si>
    <t>0305 Retail</t>
  </si>
  <si>
    <t>Total for 0304 Collections</t>
  </si>
  <si>
    <t>Trust Management Services 2026</t>
  </si>
  <si>
    <t>MuseumsAlaska CMF 26-28</t>
  </si>
  <si>
    <t>0304 Collections</t>
  </si>
  <si>
    <t>Total for 0303 Education</t>
  </si>
  <si>
    <t>CVEACF 2026</t>
  </si>
  <si>
    <t>0303 Education</t>
  </si>
  <si>
    <t>0302 Marketing</t>
  </si>
  <si>
    <t>0301 Exhibits</t>
  </si>
  <si>
    <t>03 Programs</t>
  </si>
  <si>
    <t>02 Fundraising</t>
  </si>
  <si>
    <t>01 Administration</t>
  </si>
  <si>
    <t>Statement of Activity by Class</t>
  </si>
  <si>
    <t>Thursday, Jul 09, 2026 01:31:39 PM GMT-7 - Accrual Basis</t>
  </si>
  <si>
    <t>-Split-</t>
  </si>
  <si>
    <t>foraker</t>
  </si>
  <si>
    <t>No</t>
  </si>
  <si>
    <t>recat refund 0626</t>
  </si>
  <si>
    <t>Journal Entry</t>
  </si>
  <si>
    <t>06/30/2026</t>
  </si>
  <si>
    <t>Training refund</t>
  </si>
  <si>
    <t>Foraker Group, The</t>
  </si>
  <si>
    <t>Receipt</t>
  </si>
  <si>
    <t>06/01/2026</t>
  </si>
  <si>
    <t xml:space="preserve">   </t>
  </si>
  <si>
    <t xml:space="preserve">   Total for 6375 Acquisition</t>
  </si>
  <si>
    <t xml:space="preserve">   Beginning Balance</t>
  </si>
  <si>
    <t xml:space="preserve">   6375 Acquisition</t>
  </si>
  <si>
    <t xml:space="preserve">   Total for 6370 Software</t>
  </si>
  <si>
    <t>andrea searles</t>
  </si>
  <si>
    <t>Adobe</t>
  </si>
  <si>
    <t>Expenditure</t>
  </si>
  <si>
    <t>06/21/2026</t>
  </si>
  <si>
    <t>Intuit</t>
  </si>
  <si>
    <t>Emmanuelle Brainerd</t>
  </si>
  <si>
    <t>06/15/2026</t>
  </si>
  <si>
    <t>Amber Dennis</t>
  </si>
  <si>
    <t>7shifts</t>
  </si>
  <si>
    <t>06/13/2026</t>
  </si>
  <si>
    <t>Apple</t>
  </si>
  <si>
    <t>06/09/2026</t>
  </si>
  <si>
    <t>GUSTO FEE 460377 6semk8t33vt</t>
  </si>
  <si>
    <t>Gusto</t>
  </si>
  <si>
    <t>06/02/2026</t>
  </si>
  <si>
    <t xml:space="preserve">   6370 Software</t>
  </si>
  <si>
    <t xml:space="preserve">   Total for 6365 Materials</t>
  </si>
  <si>
    <t>South Central Hardware</t>
  </si>
  <si>
    <t>06/24/2026</t>
  </si>
  <si>
    <t>Convention bags with reinforced handles in various sizes</t>
  </si>
  <si>
    <t>4 Imprint</t>
  </si>
  <si>
    <t>Bill</t>
  </si>
  <si>
    <t>06/22/2026</t>
  </si>
  <si>
    <t>Caren  Oberg</t>
  </si>
  <si>
    <t>safeway</t>
  </si>
  <si>
    <t>06/20/2026</t>
  </si>
  <si>
    <t>Food Cache</t>
  </si>
  <si>
    <t>Wholesale smoked sockeye salmon in multiple sizes</t>
  </si>
  <si>
    <t>Heavy Weather Fish Co.</t>
  </si>
  <si>
    <t>Valdez Greenhouse</t>
  </si>
  <si>
    <t>06/19/2026</t>
  </si>
  <si>
    <t>Wildlife book</t>
  </si>
  <si>
    <t>Doug Lindstrand</t>
  </si>
  <si>
    <t>06/18/2026</t>
  </si>
  <si>
    <t>Animals book</t>
  </si>
  <si>
    <t>06/17/2026</t>
  </si>
  <si>
    <t>Inventory for retail sale including Alaska themed gifts and plush</t>
  </si>
  <si>
    <t>J C Marketing</t>
  </si>
  <si>
    <t>Grandma's Kitchen</t>
  </si>
  <si>
    <t>06/16/2026</t>
  </si>
  <si>
    <t>Amazon</t>
  </si>
  <si>
    <t>06/12/2026</t>
  </si>
  <si>
    <t>06/11/2026</t>
  </si>
  <si>
    <t>Assorted wildlife and aviation themed zipper pulls and shipping</t>
  </si>
  <si>
    <t>Auke Bay Artworks,LLC</t>
  </si>
  <si>
    <t>2026-2090</t>
  </si>
  <si>
    <t>06/10/2026</t>
  </si>
  <si>
    <t>06/08/2026</t>
  </si>
  <si>
    <t>Art Guard</t>
  </si>
  <si>
    <t>06/07/2026</t>
  </si>
  <si>
    <t xml:space="preserve">   6365 Materials</t>
  </si>
  <si>
    <t xml:space="preserve">   Total for 6355 Interest Expense</t>
  </si>
  <si>
    <t xml:space="preserve">   6355 Interest Expense</t>
  </si>
  <si>
    <t xml:space="preserve">   Total for 6350 Bank &amp; Service Charges</t>
  </si>
  <si>
    <t>Square Inc SQ260630 T3HEDG01MH47925</t>
  </si>
  <si>
    <t>Deposit</t>
  </si>
  <si>
    <t>Square Inc SQ260630 T3W1T2NNJ6Z0SN3</t>
  </si>
  <si>
    <t>Square Inc SQ260629 T3FTV5YZ57KY9A1</t>
  </si>
  <si>
    <t>06/29/2026</t>
  </si>
  <si>
    <t>Square Inc SQ260629 T3C20H14MCZZYEP</t>
  </si>
  <si>
    <t>Square Inc SQ260629 T3A2QRH6K9CDG9T</t>
  </si>
  <si>
    <t>Square Inc SQ260629 T3SNVGHBR3HBQ5P</t>
  </si>
  <si>
    <t>Square Inc SQ260629 T3A5TZN77F6DPMV</t>
  </si>
  <si>
    <t>Square Inc SQ260626 T3062VD1PWBMCNX</t>
  </si>
  <si>
    <t>06/26/2026</t>
  </si>
  <si>
    <t>Square Inc SQ260626 T3EYWTC9FMR9GP8</t>
  </si>
  <si>
    <t>Square Inc SQ260625 T3J4YPF6CPCBK81</t>
  </si>
  <si>
    <t>06/25/2026</t>
  </si>
  <si>
    <t>Square Inc SQ260625 T3XH8V3JG6T372A</t>
  </si>
  <si>
    <t>Square Inc SQ260624 T3MSXAX62FEMA6P</t>
  </si>
  <si>
    <t>Square Inc SQ260624 T3HQ1R8M80Y5546</t>
  </si>
  <si>
    <t>Square Inc SQ260623 T3VZVSW3ARD5GFV</t>
  </si>
  <si>
    <t>06/23/2026</t>
  </si>
  <si>
    <t>Square Inc SQ260622 T3NPAC6ZXF1GWMM</t>
  </si>
  <si>
    <t>Square Inc SQ260622 T3E89TWHQ8JZ7SQ</t>
  </si>
  <si>
    <t>Square Inc SQ260622 T3979CVRXG7YJN4</t>
  </si>
  <si>
    <t>Square Inc SQ260622 T3PHA5EC3A9GZDP</t>
  </si>
  <si>
    <t>Square Inc SQ260622 T3BR6N887VM36J1</t>
  </si>
  <si>
    <t>Square Inc SQ260622 T3V34JPQ6P3JH5N</t>
  </si>
  <si>
    <t>Square Inc SQ260622 T3Y6F34KW1FJAYT</t>
  </si>
  <si>
    <t>Square Inc SQ260618 T31JJNBE5DGPHPV</t>
  </si>
  <si>
    <t>Square Inc SQ260618 T33E82F23GC4EHS</t>
  </si>
  <si>
    <t>Square Inc SQ260617 T3P0K1JAKJDHXVG</t>
  </si>
  <si>
    <t>Square Inc SQ260617 T3Z99ZEQHCEDCMP</t>
  </si>
  <si>
    <t>Square Inc SQ260616 T3DS65T1KYY9M00</t>
  </si>
  <si>
    <t>Square Inc SQ260616 T3JYEF3M465ZM8D</t>
  </si>
  <si>
    <t>Square Inc SQ260615 T3PRMF06Y9TS313</t>
  </si>
  <si>
    <t>Square Inc SQ260615 T3RMNVH0ABVRF5P</t>
  </si>
  <si>
    <t>Square Inc SQ260615 T3A166T2S70AXK3</t>
  </si>
  <si>
    <t>Square Inc SQ260615 T395X7XAAWSA098</t>
  </si>
  <si>
    <t>Square Inc SQ260615 T3QPWXTMSK26FRA</t>
  </si>
  <si>
    <t>Square Inc SQ260612 T3XGZDYJKAHPYHS</t>
  </si>
  <si>
    <t>Business Card</t>
  </si>
  <si>
    <t>Square Inc SQ260612 T3AMDVNWR4SERHT</t>
  </si>
  <si>
    <t>Square Inc SQ260611 T3WAGGZGXF5XBW7</t>
  </si>
  <si>
    <t>Square Inc SQ260611 T3297BGQTCGDYTP</t>
  </si>
  <si>
    <t>Square Inc SQ260610 T3QG72D3167YVPM</t>
  </si>
  <si>
    <t>Square Inc SQ260610 T3VM072JTSXEPE7</t>
  </si>
  <si>
    <t>Square Inc SQ260609 T3GT1JMMHSN01H6</t>
  </si>
  <si>
    <t>Square, Inc</t>
  </si>
  <si>
    <t>Square Inc SQ260609 T321DREE569NT7P</t>
  </si>
  <si>
    <t>Square Inc SQ260609 T338HN35XQ4DK89</t>
  </si>
  <si>
    <t>Square Inc SQ260608 T3G12K6F7C2J9EK</t>
  </si>
  <si>
    <t>Square Inc SQ260608 T31660N92ZDVYD8</t>
  </si>
  <si>
    <t>Square Inc SQ260608 T3X024RN6YTMY0H</t>
  </si>
  <si>
    <t>Square Inc SQ260608 T3H483BMY1QVMB1</t>
  </si>
  <si>
    <t>Square Inc SQ260608 T32W5S7AT3BJ4S0</t>
  </si>
  <si>
    <t>Square Inc SQ260605 T352C1KBSZZQD3H</t>
  </si>
  <si>
    <t>06/05/2026</t>
  </si>
  <si>
    <t>Square Inc SQ260605 T39KJTQVV8945CJ</t>
  </si>
  <si>
    <t>Square Inc SQ260604 T3TAQ08WXWWJ0VA</t>
  </si>
  <si>
    <t>06/04/2026</t>
  </si>
  <si>
    <t>Square Inc SQ260604 T3JH2ZFEP6GESDK</t>
  </si>
  <si>
    <t>Square Inc SQ260603 T38M01FJ2NJA5N0</t>
  </si>
  <si>
    <t>06/03/2026</t>
  </si>
  <si>
    <t>Square Inc SQ260603 T3E63SDHHCSA3GH</t>
  </si>
  <si>
    <t>Square Inc SQ260602 T337SMTG14QA594</t>
  </si>
  <si>
    <t>Square Inc SQ260602 T38TH3MAYJ3YP5S</t>
  </si>
  <si>
    <t>Gateway</t>
  </si>
  <si>
    <t>Business to Business</t>
  </si>
  <si>
    <t>Merchant Bankcard Deposit</t>
  </si>
  <si>
    <t>Square Inc SQ260601 T3PCBX6M76JB531</t>
  </si>
  <si>
    <t>Square customer</t>
  </si>
  <si>
    <t>Square Inc SQ260601 T3HERHYX0MJ73JR</t>
  </si>
  <si>
    <t>Square Inc SQ260601 T367FS6X1W1NX84</t>
  </si>
  <si>
    <t>Square Inc SQ260601 T33SY544JMQCK10</t>
  </si>
  <si>
    <t>Square Inc SQ260601 T3JYD7R0XQ2WJAC</t>
  </si>
  <si>
    <t xml:space="preserve">   6350 Bank &amp; Service Charges</t>
  </si>
  <si>
    <t xml:space="preserve">   Total for 6345 Printing and Reproduction</t>
  </si>
  <si>
    <t>300 24 Page Special Edition Newsletters (6 double sided sheet) - 80# Gloss Text // LOCAL PICK UP (Job 142582)</t>
  </si>
  <si>
    <t>Minuteman Press</t>
  </si>
  <si>
    <t>Monthly lease and usage charges for Xerox C8145 office equipment</t>
  </si>
  <si>
    <t>PEAC</t>
  </si>
  <si>
    <t xml:space="preserve">   6345 Printing and Reproduction</t>
  </si>
  <si>
    <t xml:space="preserve">   Total for 6340 Dues and Subscriptions</t>
  </si>
  <si>
    <t>Caren  Oberg  - Refund for Monthly archival research subscription</t>
  </si>
  <si>
    <t>amazon prime</t>
  </si>
  <si>
    <t>Credit Card Credit</t>
  </si>
  <si>
    <t>April Vasher-Dean</t>
  </si>
  <si>
    <t>The Foraker Group</t>
  </si>
  <si>
    <t>Caren  Oberg  - Monthly archival research subscription</t>
  </si>
  <si>
    <t xml:space="preserve">   6340 Dues and Subscriptions</t>
  </si>
  <si>
    <t xml:space="preserve">   Total for 6335 Postage and Delivery</t>
  </si>
  <si>
    <t>USPS</t>
  </si>
  <si>
    <t xml:space="preserve">   6335 Postage and Delivery</t>
  </si>
  <si>
    <t xml:space="preserve">   Total for 6330 Office Supplies</t>
  </si>
  <si>
    <t xml:space="preserve">   6330 Office Supplies</t>
  </si>
  <si>
    <t xml:space="preserve">   Total for 6325 Telephone &amp; Internet</t>
  </si>
  <si>
    <t>Zoom</t>
  </si>
  <si>
    <t>Copper Valley Telecom</t>
  </si>
  <si>
    <t xml:space="preserve">   6325 Telephone &amp; Internet</t>
  </si>
  <si>
    <t xml:space="preserve">   Total for 6320 Janitoral Services</t>
  </si>
  <si>
    <t>Square Inc SQ260623 T3YTP8PG6SYM5R5</t>
  </si>
  <si>
    <t>Professional Cleaning Services - April 2026</t>
  </si>
  <si>
    <t>Chugach Cleaning Company</t>
  </si>
  <si>
    <t>Professional Cleaning Services - May 2026</t>
  </si>
  <si>
    <t xml:space="preserve">   6320 Janitoral Services</t>
  </si>
  <si>
    <t xml:space="preserve">   Total for 6315 Utilities</t>
  </si>
  <si>
    <t>Copper Valley Electric Association</t>
  </si>
  <si>
    <t>Metered Fuel</t>
  </si>
  <si>
    <t>City of Valdez</t>
  </si>
  <si>
    <t xml:space="preserve">   6315 Utilities</t>
  </si>
  <si>
    <t xml:space="preserve">   Total for 6310 Insurance</t>
  </si>
  <si>
    <t>Insurance premiums for Museums Package and Museums Umbrella policies</t>
  </si>
  <si>
    <t>Philadelphia Insurance Co</t>
  </si>
  <si>
    <t xml:space="preserve">   6310 Insurance</t>
  </si>
  <si>
    <t xml:space="preserve">   Total for 6307 Storage Rent</t>
  </si>
  <si>
    <t xml:space="preserve">   6307 Storage Rent</t>
  </si>
  <si>
    <t>Total for 6200 Travel</t>
  </si>
  <si>
    <t>Marathon</t>
  </si>
  <si>
    <t>Beginning Balance</t>
  </si>
  <si>
    <t xml:space="preserve">   Total for 6140 Advertising/Marketing</t>
  </si>
  <si>
    <t>Facebook Ads</t>
  </si>
  <si>
    <t>06/14/2026</t>
  </si>
  <si>
    <t xml:space="preserve">   6140 Advertising/Marketing</t>
  </si>
  <si>
    <t xml:space="preserve">   Total for 6130 IT Services</t>
  </si>
  <si>
    <t>ARCTICIT PURCHASE ANDREA SEARLES</t>
  </si>
  <si>
    <t>Arctic Information Technology</t>
  </si>
  <si>
    <t>andrea searles - Monthly website firewall protection</t>
  </si>
  <si>
    <t>Wits Addon Firewall</t>
  </si>
  <si>
    <t xml:space="preserve">   6130 IT Services</t>
  </si>
  <si>
    <t xml:space="preserve">   Total for 6120 Consulting</t>
  </si>
  <si>
    <t>Remaining balance in support of the transcription of 900 minutes of digitally recorded interview/discussion due upon completion of the last transcript (Greg Tang) delivered 06/22/26 ..</t>
  </si>
  <si>
    <t>Blue Scarf Consulting</t>
  </si>
  <si>
    <t>VMH004</t>
  </si>
  <si>
    <t>Post-Production (editing short videos)</t>
  </si>
  <si>
    <t>HANNA CRAIG</t>
  </si>
  <si>
    <t>Photography and videography services</t>
  </si>
  <si>
    <t>TODD GRAVEN PHOTOGRAPHY</t>
  </si>
  <si>
    <t>2026-001</t>
  </si>
  <si>
    <t xml:space="preserve">   6120 Consulting</t>
  </si>
  <si>
    <t xml:space="preserve">   Total for 6110 Accounting</t>
  </si>
  <si>
    <t>Final Billing for the 12/31/2025 Audit</t>
  </si>
  <si>
    <t>Newhouse &amp; Vogler, CPA</t>
  </si>
  <si>
    <t>MISSION FIRST OP JUN26</t>
  </si>
  <si>
    <t>Mission First Operations</t>
  </si>
  <si>
    <t xml:space="preserve">   6110 Accounting</t>
  </si>
  <si>
    <t xml:space="preserve">   Total for 6040 Health Insurance</t>
  </si>
  <si>
    <t>May27 sales alloc</t>
  </si>
  <si>
    <t>April Vasher</t>
  </si>
  <si>
    <t>Andrea Searles</t>
  </si>
  <si>
    <t>Caren Oberg</t>
  </si>
  <si>
    <t>Health Insurance 3,646.62 x 5</t>
  </si>
  <si>
    <t>City of Valdez - Health</t>
  </si>
  <si>
    <t>02-5</t>
  </si>
  <si>
    <t>Meritain Medical - Benefit Company Contribution</t>
  </si>
  <si>
    <t>Benefit Liabilities For Meritain Medical</t>
  </si>
  <si>
    <t xml:space="preserve">   6040 Health Insurance</t>
  </si>
  <si>
    <t xml:space="preserve">   Total for 6030 403(b) - Employer</t>
  </si>
  <si>
    <t>Lincoln 403b - Benefit Company Contribution</t>
  </si>
  <si>
    <t xml:space="preserve">   6030 403(b) - Employer</t>
  </si>
  <si>
    <t xml:space="preserve">   Total for 6020 FICA Payroll Tax</t>
  </si>
  <si>
    <t>Vincent Jackson</t>
  </si>
  <si>
    <t>Shelby Shumate</t>
  </si>
  <si>
    <t>Gianna McCune</t>
  </si>
  <si>
    <t>Museum Attendents</t>
  </si>
  <si>
    <t>Celeste Hurst</t>
  </si>
  <si>
    <t>Elijah Haase</t>
  </si>
  <si>
    <t>Dale Jones</t>
  </si>
  <si>
    <t>Social Security - employer tax</t>
  </si>
  <si>
    <t>AK UI Tax (Employer) - employer tax</t>
  </si>
  <si>
    <t>Medicare - employer tax</t>
  </si>
  <si>
    <t xml:space="preserve">   6020 FICA Payroll Tax</t>
  </si>
  <si>
    <t xml:space="preserve">   Total for 6010 Salaries &amp; Wages</t>
  </si>
  <si>
    <t>Vincent Jessica</t>
  </si>
  <si>
    <t>Regular Wages</t>
  </si>
  <si>
    <t>Additional Earnings</t>
  </si>
  <si>
    <t>Sick Time Off</t>
  </si>
  <si>
    <t>Holiday Wages</t>
  </si>
  <si>
    <t>Overtime Wages</t>
  </si>
  <si>
    <t xml:space="preserve">   6010 Salaries &amp; Wages</t>
  </si>
  <si>
    <t>Total for 8102 Gallery Commission</t>
  </si>
  <si>
    <t>Dorothy M Moore 20260603 Dorothy M Moore via Ramp</t>
  </si>
  <si>
    <t>Dorothy M. Moore</t>
  </si>
  <si>
    <t>Dorothy M Moore Valdez Museum PAYING BILL 20260603 VIA RAMP</t>
  </si>
  <si>
    <t>Gallery commission 25*65%</t>
  </si>
  <si>
    <t>Sharry Miller.1</t>
  </si>
  <si>
    <t>Gallery commission</t>
  </si>
  <si>
    <t>White Raven Wood Art</t>
  </si>
  <si>
    <t>Benda  Books</t>
  </si>
  <si>
    <t>Diane Selanoff 1</t>
  </si>
  <si>
    <t>Gallery commission 50*65%</t>
  </si>
  <si>
    <t>Kevin Crowley</t>
  </si>
  <si>
    <t>Commission for gallery sales including willow fires painting</t>
  </si>
  <si>
    <t>Faith Revell</t>
  </si>
  <si>
    <t>Gallery commission 14.85*65%</t>
  </si>
  <si>
    <t>Shrimp Whisperer</t>
  </si>
  <si>
    <t>Gallery commission 12*65%</t>
  </si>
  <si>
    <t>Phyllis Adams</t>
  </si>
  <si>
    <t>Gallery commission  7.95*65%</t>
  </si>
  <si>
    <t>Rountree Candles / Lydia Rountree</t>
  </si>
  <si>
    <t>Gallery commission 60*65%</t>
  </si>
  <si>
    <t>Gallery commission 80*65%</t>
  </si>
  <si>
    <t>Renee Egrass</t>
  </si>
  <si>
    <t>Nina Thomas</t>
  </si>
  <si>
    <t>Gallery commission 145*65%</t>
  </si>
  <si>
    <t>Moon Doggies / Shana Anderson</t>
  </si>
  <si>
    <t>Gallery commission 9.9*65%</t>
  </si>
  <si>
    <t>Al Laudert</t>
  </si>
  <si>
    <t>Gallery commission 64*65%</t>
  </si>
  <si>
    <t>Emory Banker</t>
  </si>
  <si>
    <t>Gallery commission 70*65%</t>
  </si>
  <si>
    <t>Crista Andersen</t>
  </si>
  <si>
    <t>Gallery commission 20*65%</t>
  </si>
  <si>
    <t>Gallery commission 40*65%</t>
  </si>
  <si>
    <t>Gallery commission 30*65%</t>
  </si>
  <si>
    <t>Jan Michaud- Whalen</t>
  </si>
  <si>
    <t>Denali Spruce and Trailing Spruce</t>
  </si>
  <si>
    <t>Gallery commission 49.95*65% - Hat</t>
  </si>
  <si>
    <t>20260603-02</t>
  </si>
  <si>
    <t>20260603-01</t>
  </si>
  <si>
    <t>Sea Otter</t>
  </si>
  <si>
    <t>20260603-05</t>
  </si>
  <si>
    <t>hoodie</t>
  </si>
  <si>
    <t>Gallery commission 5*65% - Sea Otter Photo Magnet x 3</t>
  </si>
  <si>
    <t>Gallery commission 110*65%</t>
  </si>
  <si>
    <t>Sea Otter Photo Magnet x 3</t>
  </si>
  <si>
    <t>skier</t>
  </si>
  <si>
    <t>Gallery Commission</t>
  </si>
  <si>
    <t>Gallery commission 5*65%</t>
  </si>
  <si>
    <t>Gallery commission  175*65%</t>
  </si>
  <si>
    <t>Gallery commission 8*65%</t>
  </si>
  <si>
    <t>Gallery commission 15*65%</t>
  </si>
  <si>
    <t>Gallery commission 10*65%</t>
  </si>
  <si>
    <t>20260602-02</t>
  </si>
  <si>
    <t>Gallery commission 4.95*65%</t>
  </si>
  <si>
    <t>Gallery commission  5*65%</t>
  </si>
  <si>
    <t>20260602-01</t>
  </si>
  <si>
    <t>20260602-03</t>
  </si>
  <si>
    <t>Gallery commission 35*65%</t>
  </si>
  <si>
    <t>Gallery commission 65*65%</t>
  </si>
  <si>
    <t>Theresa Mike</t>
  </si>
  <si>
    <t>Total for 4800 Store Sales</t>
  </si>
  <si>
    <t>DEPOSIT # 6493546 16493546</t>
  </si>
  <si>
    <t>DEPOSIT # 6493552 16493552</t>
  </si>
  <si>
    <t>DEPOSIT # 6493550 16493550</t>
  </si>
  <si>
    <t>DEPOSIT # 6493551 16493551</t>
  </si>
  <si>
    <t>Total for 4700 Interest Income</t>
  </si>
  <si>
    <t>INTEREST</t>
  </si>
  <si>
    <t>First National Bank of Alaska</t>
  </si>
  <si>
    <t>Total for 4600 Miscellaneous Income</t>
  </si>
  <si>
    <t>Cashback redemption</t>
  </si>
  <si>
    <t xml:space="preserve">   Total for 4460 Event Income</t>
  </si>
  <si>
    <t xml:space="preserve">   4460 Event Income</t>
  </si>
  <si>
    <t xml:space="preserve">   Total for 4430 Admission Fees - Tour/Bulk</t>
  </si>
  <si>
    <t>Tickets purchased in bulk  by vendors and tour operators.</t>
  </si>
  <si>
    <t>Premier Alaska Tours</t>
  </si>
  <si>
    <t>Pledge</t>
  </si>
  <si>
    <t>06/28/2026</t>
  </si>
  <si>
    <t>06/27/2026</t>
  </si>
  <si>
    <t xml:space="preserve">   4430 Admission Fees - Tour/Bulk</t>
  </si>
  <si>
    <t xml:space="preserve">   Total for 4420 Admissions - General</t>
  </si>
  <si>
    <t>DEPOSIT # 6493556 16493556</t>
  </si>
  <si>
    <t xml:space="preserve">   4420 Admissions - General</t>
  </si>
  <si>
    <t xml:space="preserve">   Total for 4410 Presenter &amp; Guide Income</t>
  </si>
  <si>
    <t>Services reimbursement</t>
  </si>
  <si>
    <t>Services reimbursement /tour guide</t>
  </si>
  <si>
    <t>Services reimbursement / tour guide</t>
  </si>
  <si>
    <t>Services reimbursement/ presenter &amp; Museum Visit</t>
  </si>
  <si>
    <t>Grand Circle  LLC</t>
  </si>
  <si>
    <t>Services reimbursement/ tour guide</t>
  </si>
  <si>
    <t>Services reimbursement/tour guide</t>
  </si>
  <si>
    <t xml:space="preserve">   4410 Presenter &amp; Guide Income</t>
  </si>
  <si>
    <t xml:space="preserve">   Total for 4250 Foundations</t>
  </si>
  <si>
    <t xml:space="preserve">   4250 Foundations</t>
  </si>
  <si>
    <t xml:space="preserve">   Total for 4240 City of Valdez</t>
  </si>
  <si>
    <t>3rd qtr, FY 2026 City Grant</t>
  </si>
  <si>
    <t>City of Valdez - Grant Income</t>
  </si>
  <si>
    <t xml:space="preserve">   4240 City of Valdez</t>
  </si>
  <si>
    <t xml:space="preserve">   Total for 4036 Unrestricted</t>
  </si>
  <si>
    <t xml:space="preserve">   4036 Unrestricted</t>
  </si>
  <si>
    <t xml:space="preserve">   Total for 4034 Individuals</t>
  </si>
  <si>
    <t xml:space="preserve">   4034 Individuals</t>
  </si>
  <si>
    <t xml:space="preserve">   Total for 4033 Membership</t>
  </si>
  <si>
    <t>Zeffy US Zeffy US ST-A6Z4Z4C8X4H6</t>
  </si>
  <si>
    <t>Zeffy Funds</t>
  </si>
  <si>
    <t>Zeffy US Zeffy US ST-R3P4I8R4O6M8</t>
  </si>
  <si>
    <t>Zeffy US Zeffy US ST-F3J8G0O7K4N6</t>
  </si>
  <si>
    <t>Zeffy Sales</t>
  </si>
  <si>
    <t>Zeffy US Zeffy US ST-H7Q8N0W9S5L4</t>
  </si>
  <si>
    <t xml:space="preserve">   4033 Membership</t>
  </si>
  <si>
    <t>Total for 8079 Contributed Capital</t>
  </si>
  <si>
    <t>Total for 7503 Museum Endowment Fund Equity</t>
  </si>
  <si>
    <t>Total for 7502 3900 Retained Earnings</t>
  </si>
  <si>
    <t>Total for 3000 Opening Bal Equity</t>
  </si>
  <si>
    <t>Total for 403(b) Payable</t>
  </si>
  <si>
    <t>+Lincoln NationaRMR*IV*AVMHAXXXXXXXXXXXX44000000092CR\</t>
  </si>
  <si>
    <t>Lincoln Financial Group</t>
  </si>
  <si>
    <t>Benefit Liabilities For Lincoln 403b</t>
  </si>
  <si>
    <t>+Lincoln NationaRMR*IV*AVMHAXXXXXXXXXXXX34000000091CR\</t>
  </si>
  <si>
    <t>Total for 6601 Deferred Revenue</t>
  </si>
  <si>
    <t xml:space="preserve">   Total for 6005 Accrued Payroll</t>
  </si>
  <si>
    <t>Check for Ashley Mehlberg - chk 4099</t>
  </si>
  <si>
    <t xml:space="preserve">   6005 Accrued Payroll</t>
  </si>
  <si>
    <t>Total for 6002 Leave Payable</t>
  </si>
  <si>
    <t>Total for 5506 Ramp Card</t>
  </si>
  <si>
    <t>6140 Professional &amp; Contract Fees:Advertising/Marketing</t>
  </si>
  <si>
    <t>6335 General Expenses:Postage and Delivery</t>
  </si>
  <si>
    <t>6365 General Expenses:Materials</t>
  </si>
  <si>
    <t>6325 General Expenses:Telephone &amp; Internet</t>
  </si>
  <si>
    <t>6315 General Expenses:Utilities</t>
  </si>
  <si>
    <t>6370 General Expenses:Software</t>
  </si>
  <si>
    <t>6330 General Expenses:Office Supplies</t>
  </si>
  <si>
    <t>Credit Card Payment</t>
  </si>
  <si>
    <t>6340 General Expenses:Dues and Subscriptions</t>
  </si>
  <si>
    <t>6130 Professional &amp; Contract Fees:IT Services</t>
  </si>
  <si>
    <t>Total for 5505 Bank of America  Business Card</t>
  </si>
  <si>
    <t>Business credit card statement with itemized charges</t>
  </si>
  <si>
    <t>6350 General Expenses:Bank &amp; Service Charges</t>
  </si>
  <si>
    <t>Total for 5501 2000 Accounts Payable with subs</t>
  </si>
  <si>
    <t xml:space="preserve">   Total for Raffle Proceeds Payable</t>
  </si>
  <si>
    <t xml:space="preserve">   Raffle Proceeds Payable</t>
  </si>
  <si>
    <t xml:space="preserve">   Total for 5501 2000 Accounts Payable</t>
  </si>
  <si>
    <t>dPYreZ1KS7q/zycfF9jRg</t>
  </si>
  <si>
    <t>Bill Payment (Check)</t>
  </si>
  <si>
    <t>NFvCMCs6RFq4nMTn/DD+t</t>
  </si>
  <si>
    <t>Commission payout for Large Kevin Crowley Print sale
View this bill in Ramp:
https://app.ramp.com/s/bill-pay/bills/fb89cb3f-6659-4e13-bff5-ef159aaeaaf2</t>
  </si>
  <si>
    <t>Gallery commission
View this bill in Ramp:
https://app.ramp.com/s/bill-pay/bills/01d5e53c-3ec7-4f55-945f-021df9cf9193</t>
  </si>
  <si>
    <t>Consignment sales report for books and gallery items
View this bill in Ramp:
https://app.ramp.com/s/bill-pay/bills/23e58f7a-2235-446d-98a3-03789f58eaaf</t>
  </si>
  <si>
    <t>Commission for sales of seal skin bangle and fox earrings
View this bill in Ramp:
https://app.ramp.com/s/bill-pay/bills/47975919-ecbb-488e-ae0d-fddffc6ed75a</t>
  </si>
  <si>
    <t>Commission for gallery sales including willow fires painting
View this bill in Ramp:
https://app.ramp.com/s/bill-pay/bills/5e05231a-bff8-47e1-b97e-c21c42787f8b</t>
  </si>
  <si>
    <t>Gallery commission
View this bill in Ramp:
https://app.ramp.com/s/bill-pay/bills/04fa6649-1f47-4641-82d0-acc251e7deae</t>
  </si>
  <si>
    <t>UT8ohE58TwyHrZfkgwyUc</t>
  </si>
  <si>
    <t>15awK8yoQqShY7OIBnjqr</t>
  </si>
  <si>
    <t>Gallery commission
View this bill in Ramp:
https://app.ramp.com/s/bill-pay/bills/3942d4c9-9a3f-4bb2-b8e3-292a31413111</t>
  </si>
  <si>
    <t>PFw3EC3dTlWn8rERTSazT</t>
  </si>
  <si>
    <t>jXoEBbOLSgqgisWYqM2qx</t>
  </si>
  <si>
    <t>AEMMdNsQSMeU5Q0YNyFai</t>
  </si>
  <si>
    <t>6120 Professional &amp; Contract Fees:Consulting</t>
  </si>
  <si>
    <t>Remaining balance for transcription services of digitally recorded interviews
View this bill in Ramp:
https://app.ramp.com/s/bill-pay/bills/e5a34100-601c-4ab5-b456-591e91506308</t>
  </si>
  <si>
    <t>9STUh9D0RDe/5o9xN8TZy</t>
  </si>
  <si>
    <t>b8hY1a8SSmW85m+3O+iJk</t>
  </si>
  <si>
    <t>Convention bags with reinforced handles in various sizes
View this bill in Ramp:
https://app.ramp.com/s/bill-pay/bills/71f58def-96aa-4cd0-b546-d5ed98911cdf</t>
  </si>
  <si>
    <t>dp/yKQ2wSkSVLwrkybx0/</t>
  </si>
  <si>
    <t>zw2VMPQ5RHWg6Orrv/ZoI</t>
  </si>
  <si>
    <t>BZCw8W6XRBCt13wEFD3IG</t>
  </si>
  <si>
    <t>Wholesale smoked sockeye salmon in multiple sizes
View this bill in Ramp:
https://app.ramp.com/s/bill-pay/bills/3f326985-61cc-45fe-bbaa-8e069206b31d</t>
  </si>
  <si>
    <t>Gallery commission
View this bill in Ramp:
https://app.ramp.com/s/bill-pay/bills/caf4abe5-9790-4ae5-8c97-d34bba580cfe</t>
  </si>
  <si>
    <t>purchase of Drawing Alaskan Wildlife books
View this bill in Ramp:
https://app.ramp.com/s/bill-pay/bills/20c3600f-6c10-4a22-ad7e-00994f59e476</t>
  </si>
  <si>
    <t>6320 General Expenses:Janitoral Services</t>
  </si>
  <si>
    <t>Professional janitorial cleaning services for April 2026
View this bill in Ramp:
https://app.ramp.com/s/bill-pay/bills/ff469f6b-fde1-44c3-bb50-04cc74615c7f</t>
  </si>
  <si>
    <t>Jeremy Pataky</t>
  </si>
  <si>
    <t>KVn7aOPXRraxIN6/8WVC9</t>
  </si>
  <si>
    <t>6040 Personnel Expenses:Health Insurance</t>
  </si>
  <si>
    <t>Health Insurance x5
View this bill in Ramp:
https://app.ramp.com/bills/paid/bills/36c58260-0b8a-4e7d-a406-16d9cb35d047</t>
  </si>
  <si>
    <t>Gallery commission
View this bill in Ramp:
https://app.ramp.com/s/bill-pay/bills/854b1c0d-ee0f-421e-89bd-3a31c3b3a1f9</t>
  </si>
  <si>
    <t>usNw1bdHQFqMvIenk9j+o</t>
  </si>
  <si>
    <t>Purchase of Drawing Realistic Animals books
View this bill in Ramp:
https://app.ramp.com/s/bill-pay/bills/7e920730-a9c0-4a4b-b6a3-847eb1cfe505</t>
  </si>
  <si>
    <t>hUACEjLGSMqWKr+raiyZY</t>
  </si>
  <si>
    <t>IC88DveoSRKGnw1L8AU8E</t>
  </si>
  <si>
    <t>8bbyzPAoQyCMfNtBNCAAQ</t>
  </si>
  <si>
    <t>Inventory for retail sale including Alaska themed gifts and plush
View this bill in Ramp:
https://app.ramp.com/s/bill-pay/bills/812fe409-314e-436d-8074-1617d3f954f7</t>
  </si>
  <si>
    <t>rLXroAEMRKmO9QQlW8lDv</t>
  </si>
  <si>
    <t>WzQf1mYzRrCEjZPFm9tpX</t>
  </si>
  <si>
    <t>2eJD1RluSD2Cd0zYeJj8X</t>
  </si>
  <si>
    <t>q7+Z8QcYT4qB5h7XXcCFD</t>
  </si>
  <si>
    <t>lywl5r8wSh6enmKWzHEAg</t>
  </si>
  <si>
    <t>bhgMHpqmQHu34w6K3Y5yy</t>
  </si>
  <si>
    <t>Gallery commission
View this bill in Ramp:
https://app.ramp.com/s/bill-pay/bills/5391c232-36ff-44e4-9b71-6b05faabfac1</t>
  </si>
  <si>
    <t>Gallery commission
View this bill in Ramp:
https://app.ramp.com/s/bill-pay/bills/57ffb0c0-38c2-4a60-8d4b-53ac79a4adbf</t>
  </si>
  <si>
    <t>DgzuWYSsSgyVGAEJ2661w</t>
  </si>
  <si>
    <t>RFdHOkTMSR2XgHyHSoTkO</t>
  </si>
  <si>
    <t>mBHwZCBPTman1W+SdIzD+</t>
  </si>
  <si>
    <t>Gallery commission
View this bill in Ramp:
https://app.ramp.com/s/bill-pay/bills/a1f9387a-2c2b-448f-8d62-1362674871a4</t>
  </si>
  <si>
    <t>Gallery commission
View this bill in Ramp:
https://app.ramp.com/s/bill-pay/bills/ea8eae19-e487-4964-b229-13daac065e9d</t>
  </si>
  <si>
    <t>Gallery commission 
View this bill in Ramp:
https://app.ramp.com/s/bill-pay/bills/7e82efeb-bfc7-45b9-ab05-62338c9c2a2c</t>
  </si>
  <si>
    <t>Gallery commission
View this bill in Ramp:
https://app.ramp.com/s/bill-pay/bills/6810b16b-d383-412d-be2d-8b681c02d23b</t>
  </si>
  <si>
    <t>Gallery commission
View this bill in Ramp:
https://app.ramp.com/s/bill-pay/bills/515d6e51-8d94-42da-a229-99a2d98eb989</t>
  </si>
  <si>
    <t>Gallery commission
View this bill in Ramp:
https://app.ramp.com/s/bill-pay/bills/282ae59c-324a-4dd6-9c76-8148ce57fe46</t>
  </si>
  <si>
    <t>Gallery commission
View this bill in Ramp:
https://app.ramp.com/s/bill-pay/bills/cb8b6ae6-c2e1-4241-9aed-4700fc59158e</t>
  </si>
  <si>
    <t>Gallery commission 
View this bill in Ramp:
https://app.ramp.com/s/bill-pay/bills/b93b2c85-3d30-4ef8-953b-9ee1665e7f9f</t>
  </si>
  <si>
    <t>Gallery commission
View this bill in Ramp:
https://app.ramp.com/s/bill-pay/bills/467cb61c-2270-490b-84cc-db8a5a0c4c30</t>
  </si>
  <si>
    <t>Monthly metered fuel utility charges
View this bill in Ramp:
https://app.ramp.com/s/bill-pay/bills/339c3516-21ab-4393-8343-9d165ce75336</t>
  </si>
  <si>
    <t>Gallery commission 
View this bill in Ramp:
https://app.ramp.com/s/bill-pay/bills/cfcdcca6-b046-40b2-8898-89da74f01371</t>
  </si>
  <si>
    <t>Maritime Valdez video project post-production services
View this bill in Ramp:
https://app.ramp.com/s/bill-pay/bills/6b6c0784-c5da-406d-bc1e-7cdf8dd95b86</t>
  </si>
  <si>
    <t>Business credit card statement with itemized charges
View this bill in Ramp:
https://app.ramp.com/s/bill-pay/bills/fac35b23-2194-419e-b99c-338ccc86cbb5</t>
  </si>
  <si>
    <t>Commission report for sales of gift shop items
View this bill in Ramp:
https://app.ramp.com/s/bill-pay/bills/aff10f12-d298-4325-b572-d68048638d98</t>
  </si>
  <si>
    <t>Gallery commission 
View this bill in Ramp:
https://app.ramp.com/s/bill-pay/bills/26043110-a1c0-42b0-b19e-a235879c7061</t>
  </si>
  <si>
    <t>Gallery commission 
View this bill in Ramp:
https://app.ramp.com/s/bill-pay/bills/77b18d20-d6e5-4956-8b74-198ba53123d7</t>
  </si>
  <si>
    <t>Gallery commission
View this bill in Ramp:
https://app.ramp.com/s/bill-pay/bills/b1e59942-9f12-4539-857d-22cc653c257a</t>
  </si>
  <si>
    <t>Gallery commission 
View this bill in Ramp:
https://app.ramp.com/s/bill-pay/bills/894e728c-600c-4564-be3b-2110e5880b5a</t>
  </si>
  <si>
    <t>6345 General Expenses:Printing and Reproduction</t>
  </si>
  <si>
    <t>Printing of 300 24-page special edition newsletters
View this bill in Ramp:
https://app.ramp.com/s/bill-pay/bills/9810bb58-5a6e-4102-b2ee-b7379752067a</t>
  </si>
  <si>
    <t>Sales report and consignment commission for book and retail items
View this bill in Ramp:
https://app.ramp.com/s/bill-pay/bills/6bd46ff0-16a9-4f9b-abbe-2d1d9e8c1fe1</t>
  </si>
  <si>
    <t>FnCUKfvZQdqxYiYvO5I2u</t>
  </si>
  <si>
    <t>obdsB3xeR/mV86cyQzh2b</t>
  </si>
  <si>
    <t>Monthly lease and usage charges for Xerox C8145 office equipment
View this bill in Ramp:
https://app.ramp.com/s/bill-pay/bills/0571737b-5007-4a19-abbe-a5d3c500c808</t>
  </si>
  <si>
    <t>Assorted wildlife and aviation themed zipper pulls and shipping
View this bill in Ramp:
https://app.ramp.com/s/bill-pay/bills/45fabe49-2c5a-4009-b92d-96793fc1feca</t>
  </si>
  <si>
    <t>View this bill in Ramp:
https://app.ramp.com/bills/paid/bills/deacfa47-0562-421d-94af-53df086490af</t>
  </si>
  <si>
    <t>Photography and videography services
View this bill in Ramp:
https://app.ramp.com/bills/paid/bills/9fe68ad1-2a2a-4e5a-ac0b-869a8537859b</t>
  </si>
  <si>
    <t>kNKJlzEyQ5yLVjRARmasI</t>
  </si>
  <si>
    <t>ifci/KDxT9WWeLjeww5r6</t>
  </si>
  <si>
    <t>FlmYEUoySqmdZC7ZRGC+r</t>
  </si>
  <si>
    <t>cZa6sXEERnGIlKEsUthrW</t>
  </si>
  <si>
    <t>Xbo5wHHOTLiW7chLHDlej</t>
  </si>
  <si>
    <t>3DEyq5xASCCxUGZ99Dgm8</t>
  </si>
  <si>
    <t>6K5/GL52RbapxxXyhOzj6</t>
  </si>
  <si>
    <t>sbdoVo9FQOuYtOCfVKVTs</t>
  </si>
  <si>
    <t>YC4XXbbtTOG7OnjcazJdE</t>
  </si>
  <si>
    <t>7v7T1IwTSbaNTtYIEAuWX</t>
  </si>
  <si>
    <t>SJ8iJMT/RAaIf1IYOmql8</t>
  </si>
  <si>
    <t>jvT/j3jQT+avfGP5Wuqaf</t>
  </si>
  <si>
    <t>L0Xd8JOWT/OL3ZY05vrpd</t>
  </si>
  <si>
    <t>W4j/Bj3JRFi1fwfmjLsGl</t>
  </si>
  <si>
    <t>/bNfvCbZQlKpUlQiEfJaR</t>
  </si>
  <si>
    <t>pn6SR6rKToeX7eX4tlq/f</t>
  </si>
  <si>
    <t>UTrqTfYkTYK3tMVrIJtO1</t>
  </si>
  <si>
    <t>THTyfGu3QVilGzT2mNufl</t>
  </si>
  <si>
    <t>Gallery commission 
View this bill in Ramp:
https://app.ramp.com/bills/paid/bills/8fdefda4-41a1-40d1-b7fa-f2ad638f31a7</t>
  </si>
  <si>
    <t>Gallery commission 
View this bill in Ramp:
https://app.ramp.com/s/bill-pay/bills/9d363ffb-e375-4db6-bad2-8c1539da0cc4</t>
  </si>
  <si>
    <t>d2QfIIgYQae5Yzi7Qh4mQ</t>
  </si>
  <si>
    <t>e3uB0pUcSlG+I5xit3bSS</t>
  </si>
  <si>
    <t>qDaXgKG7SoOU9S3R62I1s</t>
  </si>
  <si>
    <t>Gallery commission 
View this bill in Ramp:
https://app.ramp.com/bills/paid/bills/f4315f77-8be6-4e15-9f42-724203eb1389</t>
  </si>
  <si>
    <t>Gallery commission 
View this bill in Ramp:
https://app.ramp.com/bills/paid/bills/3adf7f2a-f789-4a9b-8de2-cf5c8d5c1b27</t>
  </si>
  <si>
    <t>Gallery commission 
View this bill in Ramp:
https://app.ramp.com/bills/paid/bills/3d858e39-223a-4870-8ae9-3cb51a9f76ee</t>
  </si>
  <si>
    <t>Gallery commission 
View this bill in Ramp:
https://app.ramp.com/bills/paid/bills/32fc3b80-e166-4bf7-8d07-1861fc60cbc1</t>
  </si>
  <si>
    <t>Gallery commission 
View this bill in Ramp:
https://app.ramp.com/bills/paid/bills/5a51e05b-f512-45a2-9f0d-0a7f90359d31</t>
  </si>
  <si>
    <t>Gallery commission 
View this bill in Ramp:
https://app.ramp.com/bills/paid/bills/eb707ed2-2c29-4425-87f3-8d0297897e5c</t>
  </si>
  <si>
    <t>Gallery Commission
View this bill in Ramp:
https://app.ramp.com/bills/paid/bills/92aac94f-7860-4fad-8451-5d5526afd121</t>
  </si>
  <si>
    <t>Gallery commission 
View this bill in Ramp:
https://app.ramp.com/bills/paid/bills/fb71ea36-73f6-451b-902c-172c83475937</t>
  </si>
  <si>
    <t>6110 Professional &amp; Contract Fees:Accounting</t>
  </si>
  <si>
    <t>final billing for the 2025 audit
View this bill in Ramp:
https://app.ramp.com/bills/paid/bills/e81da437-a0ad-42eb-baf0-3eb6944bf4c9</t>
  </si>
  <si>
    <t>Gallery commission 
View this bill in Ramp:
https://app.ramp.com/bills/paid/bills/45f434fc-984c-418a-8042-6089d85647cd</t>
  </si>
  <si>
    <t>zH9e0yaGR4e8EfWt5DyIU</t>
  </si>
  <si>
    <t>Gallery commission 
View this bill in Ramp:
https://app.ramp.com/bills/paid/bills/53e97084-33c3-4332-ae8a-aebb9306ae42</t>
  </si>
  <si>
    <t>Gallery commission 
View this bill in Ramp:
https://app.ramp.com/bills/paid/bills/eb09c835-a548-4ce7-97d9-9d25c0cfc878</t>
  </si>
  <si>
    <t>Gallery commission 
View this bill in Ramp:
https://app.ramp.com/bills/paid/bills/a0f52225-7bad-4cfc-8702-8e98e151ffd5</t>
  </si>
  <si>
    <t>Gallery commission 
View this bill in Ramp:
https://app.ramp.com/bills/paid/bills/4ed927c5-68ec-44ef-a4a2-c010477fdab8</t>
  </si>
  <si>
    <t>Gallery commission 
View this bill in Ramp:
https://app.ramp.com/bills/paid/bills/008e46bf-4e63-4d53-a3d3-920a2ffc2a27</t>
  </si>
  <si>
    <t>Gallery commission 
View this bill in Ramp:
https://app.ramp.com/bills/paid/bills/6996d7f7-0612-45c9-a7ff-49ba4b0887c2</t>
  </si>
  <si>
    <t>Sales report including admissions and gallery shop item sales
View this bill in Ramp:
https://app.ramp.com/bills/paid/bills/de26b269-e539-46d8-83f7-54c99a658b6f</t>
  </si>
  <si>
    <t>Gallery commission 
View this bill in Ramp:
https://app.ramp.com/bills/paid/bills/10e2f9ed-dec2-4209-9127-c948866349d8</t>
  </si>
  <si>
    <t>Wallace IT Solutions</t>
  </si>
  <si>
    <t>OAuQLUVtQOugp/npmybre</t>
  </si>
  <si>
    <t>Professional janitorial cleaning services for May 2026
View this bill in Ramp:
https://app.ramp.com/bills/paid/bills/c26b717f-dd7e-4e96-90f5-2b86ea08cd9e</t>
  </si>
  <si>
    <t>6310 General Expenses:Insurance</t>
  </si>
  <si>
    <t>Insurance premiums for Museums Package and Museums Umbrella policies
View this bill in Ramp:
https://app.ramp.com/s/bill-pay/bills/e5a43811-a665-4446-9a69-347f24797625</t>
  </si>
  <si>
    <t>c2kjIT31RBOAC1a2v12iF</t>
  </si>
  <si>
    <t>Jack of Arts</t>
  </si>
  <si>
    <t>MjSfOJAMQ1W8DXYQHDTi1</t>
  </si>
  <si>
    <t>Total for 1502 Museum Endowment Fund</t>
  </si>
  <si>
    <t>Total for 4001 Fixed Assets with subs</t>
  </si>
  <si>
    <t xml:space="preserve">   Total for 4005 Accumulated Deprec - Vehic/Othe</t>
  </si>
  <si>
    <t xml:space="preserve">   4005 Accumulated Deprec - Vehic/Othe</t>
  </si>
  <si>
    <t xml:space="preserve">   Total for 4004 Accumulated Deprciation Shelter</t>
  </si>
  <si>
    <t xml:space="preserve">   4004 Accumulated Deprciation Shelter</t>
  </si>
  <si>
    <t xml:space="preserve">   Total for 4003 Accumulated Depreciation-Assets</t>
  </si>
  <si>
    <t xml:space="preserve">   4003 Accumulated Depreciation-Assets</t>
  </si>
  <si>
    <t xml:space="preserve">   Total for 4002 Lifeboat Shelter Asset</t>
  </si>
  <si>
    <t xml:space="preserve">   4002 Lifeboat Shelter Asset</t>
  </si>
  <si>
    <t xml:space="preserve">   Total for 4001.1 Office Equipment</t>
  </si>
  <si>
    <t xml:space="preserve">   4001.1 Office Equipment</t>
  </si>
  <si>
    <t xml:space="preserve">   Total for 4001 Fixed Assets</t>
  </si>
  <si>
    <t>Total for 4000 Construction in Progress</t>
  </si>
  <si>
    <t>Total for 2501 Prepaid Insurance</t>
  </si>
  <si>
    <t>Total for 2002 1120 Inventory Asset</t>
  </si>
  <si>
    <t>Total for 1017 Undeposited Funds</t>
  </si>
  <si>
    <t>Transfer</t>
  </si>
  <si>
    <t>Total for 102 Accounts Receivable (AR)</t>
  </si>
  <si>
    <t>4410 Service Income:Presenter &amp; Guide Income</t>
  </si>
  <si>
    <t>4430 Service Income:Admission Fees - Tour/Bulk</t>
  </si>
  <si>
    <t>Payment</t>
  </si>
  <si>
    <t>4240 Grants:City of Valdez</t>
  </si>
  <si>
    <t>Total for 1027 CD 61215021 -Phyllis Irish</t>
  </si>
  <si>
    <t>Total for 1026 1st National Gaming</t>
  </si>
  <si>
    <t>Total for 1025 1st National  Operating</t>
  </si>
  <si>
    <t>4033 Donations Income:Membership</t>
  </si>
  <si>
    <t>Statement payment</t>
  </si>
  <si>
    <t>Debit net pay</t>
  </si>
  <si>
    <t>Debit tax</t>
  </si>
  <si>
    <t>4420 Service Income:Admissions - General</t>
  </si>
  <si>
    <t>Total for 1024 1st National Savings</t>
  </si>
  <si>
    <t>Total for 1022 10950 Cash in Drawer</t>
  </si>
  <si>
    <t>Total for 1003 WF Merchant Services Account</t>
  </si>
  <si>
    <t>Balance</t>
  </si>
  <si>
    <t>Amount</t>
  </si>
  <si>
    <t>Split</t>
  </si>
  <si>
    <t>Memo/Description</t>
  </si>
  <si>
    <t>Name</t>
  </si>
  <si>
    <t>Adj</t>
  </si>
  <si>
    <t>Num</t>
  </si>
  <si>
    <t>Transaction Type</t>
  </si>
  <si>
    <t>Date</t>
  </si>
  <si>
    <t>June 2026</t>
  </si>
  <si>
    <t>General Ledger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</si>
</sst>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#,##0_);_(&quot;$&quot;\(#,##0\)"/>
    <numFmt numFmtId="165" formatCode="_(#,##0_);_(\(#,##0\)"/>
    <numFmt numFmtId="166" formatCode="#,##0\ _€"/>
    <numFmt numFmtId="167" formatCode="&quot;$&quot;* #,##0\ _€"/>
    <numFmt numFmtId="168" formatCode="_(&quot;$&quot;#,##0.00_);_(&quot;$&quot;\(#,##0.00\)"/>
    <numFmt numFmtId="169" formatCode="_(#,##0.00_);_(\(#,##0.00\)"/>
    <numFmt numFmtId="170" formatCode="&quot;$&quot;* #,##0.00\ _€"/>
    <numFmt numFmtId="171" formatCode="#,##0.00\ _€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Arial"/>
    </font>
    <font>
      <b/>
      <sz val="8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b/>
      <sz val="14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1"/>
    <xf numFmtId="0" fontId="1" fillId="0" borderId="0"/>
    <xf numFmtId="0" fontId="1" fillId="0" borderId="2"/>
    <xf numFmtId="0" fontId="8" fillId="0" borderId="0"/>
  </cellStyleXfs>
  <cellXfs count="53">
    <xf numFmtId="0" fontId="0" fillId="0" borderId="0" xfId="0"/>
    <xf numFmtId="0" fontId="3" fillId="0" borderId="1" xfId="1" applyFont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2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5"/>
    </xf>
    <xf numFmtId="0" fontId="4" fillId="0" borderId="0" xfId="0" applyFont="1" applyAlignment="1">
      <alignment horizontal="left" wrapText="1" indent="4"/>
    </xf>
    <xf numFmtId="165" fontId="2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0" borderId="3" xfId="1" applyFont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164" fontId="4" fillId="2" borderId="2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left" wrapText="1" indent="1"/>
    </xf>
    <xf numFmtId="0" fontId="8" fillId="0" borderId="0" xfId="4"/>
    <xf numFmtId="166" fontId="9" fillId="0" borderId="0" xfId="4" applyNumberFormat="1" applyFont="1" applyAlignment="1">
      <alignment wrapText="1"/>
    </xf>
    <xf numFmtId="0" fontId="10" fillId="0" borderId="0" xfId="4" applyFont="1" applyAlignment="1">
      <alignment horizontal="left" wrapText="1"/>
    </xf>
    <xf numFmtId="10" fontId="10" fillId="0" borderId="2" xfId="4" applyNumberFormat="1" applyFont="1" applyBorder="1" applyAlignment="1">
      <alignment horizontal="right" wrapText="1"/>
    </xf>
    <xf numFmtId="167" fontId="10" fillId="0" borderId="2" xfId="4" applyNumberFormat="1" applyFont="1" applyBorder="1" applyAlignment="1">
      <alignment horizontal="right" wrapText="1"/>
    </xf>
    <xf numFmtId="10" fontId="9" fillId="0" borderId="0" xfId="4" applyNumberFormat="1" applyFont="1" applyAlignment="1">
      <alignment horizontal="right" wrapText="1"/>
    </xf>
    <xf numFmtId="166" fontId="9" fillId="0" borderId="0" xfId="4" applyNumberFormat="1" applyFont="1" applyAlignment="1">
      <alignment horizontal="right" wrapText="1"/>
    </xf>
    <xf numFmtId="0" fontId="11" fillId="0" borderId="1" xfId="4" applyFont="1" applyBorder="1" applyAlignment="1">
      <alignment horizontal="center" wrapText="1"/>
    </xf>
    <xf numFmtId="0" fontId="8" fillId="0" borderId="0" xfId="4" applyAlignment="1">
      <alignment wrapText="1"/>
    </xf>
    <xf numFmtId="0" fontId="10" fillId="2" borderId="0" xfId="4" applyFont="1" applyFill="1" applyAlignment="1">
      <alignment horizontal="left" wrapText="1"/>
    </xf>
    <xf numFmtId="167" fontId="10" fillId="2" borderId="2" xfId="4" applyNumberFormat="1" applyFont="1" applyFill="1" applyBorder="1" applyAlignment="1">
      <alignment horizontal="right" wrapText="1"/>
    </xf>
    <xf numFmtId="10" fontId="10" fillId="2" borderId="2" xfId="4" applyNumberFormat="1" applyFont="1" applyFill="1" applyBorder="1" applyAlignment="1">
      <alignment horizontal="right" wrapText="1"/>
    </xf>
    <xf numFmtId="168" fontId="4" fillId="0" borderId="2" xfId="0" applyNumberFormat="1" applyFont="1" applyBorder="1" applyAlignment="1">
      <alignment wrapText="1"/>
    </xf>
    <xf numFmtId="169" fontId="4" fillId="0" borderId="2" xfId="0" applyNumberFormat="1" applyFont="1" applyBorder="1" applyAlignment="1">
      <alignment wrapText="1"/>
    </xf>
    <xf numFmtId="169" fontId="2" fillId="0" borderId="0" xfId="0" applyNumberFormat="1" applyFont="1" applyAlignment="1">
      <alignment wrapText="1"/>
    </xf>
    <xf numFmtId="170" fontId="10" fillId="0" borderId="2" xfId="4" applyNumberFormat="1" applyFont="1" applyBorder="1" applyAlignment="1">
      <alignment horizontal="right" wrapText="1"/>
    </xf>
    <xf numFmtId="171" fontId="9" fillId="0" borderId="0" xfId="4" applyNumberFormat="1" applyFont="1" applyAlignment="1">
      <alignment horizontal="right" wrapText="1"/>
    </xf>
    <xf numFmtId="0" fontId="9" fillId="0" borderId="0" xfId="4" quotePrefix="1" applyFont="1" applyAlignment="1">
      <alignment horizontal="left" wrapText="1"/>
    </xf>
    <xf numFmtId="0" fontId="9" fillId="0" borderId="0" xfId="4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8" fillId="0" borderId="0" xfId="4" applyAlignment="1">
      <alignment wrapText="1"/>
    </xf>
    <xf numFmtId="0" fontId="9" fillId="0" borderId="0" xfId="4" applyFont="1" applyAlignment="1">
      <alignment horizontal="center"/>
    </xf>
    <xf numFmtId="0" fontId="8" fillId="0" borderId="0" xfId="4"/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</cellXfs>
  <cellStyles count="5">
    <cellStyle name="GroupedCellStyle" xfId="2" xr:uid="{00000000-0005-0000-0000-000007000000}"/>
    <cellStyle name="HeaderCellStyle" xfId="1" xr:uid="{00000000-0005-0000-0000-000006000000}"/>
    <cellStyle name="Normal" xfId="0" builtinId="0"/>
    <cellStyle name="Normal 2" xfId="4" xr:uid="{CE4E320F-2948-4584-BE3F-4138FEF66FD4}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C94"/>
  <sheetViews>
    <sheetView topLeftCell="A58" workbookViewId="0">
      <selection activeCell="I86" sqref="I86"/>
    </sheetView>
  </sheetViews>
  <sheetFormatPr defaultColWidth="11.25" defaultRowHeight="15.75" x14ac:dyDescent="0.25"/>
  <cols>
    <col min="1" max="1" width="34.125" style="2" customWidth="1"/>
    <col min="2" max="2" width="16.125" style="2" customWidth="1"/>
    <col min="3" max="3" width="20.375" style="2" customWidth="1"/>
  </cols>
  <sheetData>
    <row r="1" spans="1:3" x14ac:dyDescent="0.25">
      <c r="A1" s="41" t="s">
        <v>0</v>
      </c>
      <c r="B1" s="42"/>
      <c r="C1" s="42"/>
    </row>
    <row r="2" spans="1:3" x14ac:dyDescent="0.25">
      <c r="A2" s="43" t="s">
        <v>1</v>
      </c>
      <c r="B2" s="42"/>
      <c r="C2" s="42"/>
    </row>
    <row r="3" spans="1:3" x14ac:dyDescent="0.25">
      <c r="A3" s="44" t="s">
        <v>2</v>
      </c>
      <c r="B3" s="42"/>
      <c r="C3" s="42"/>
    </row>
    <row r="5" spans="1:3" x14ac:dyDescent="0.25">
      <c r="A5" s="1" t="s">
        <v>87</v>
      </c>
      <c r="B5" s="46" t="s">
        <v>88</v>
      </c>
      <c r="C5" s="42"/>
    </row>
    <row r="6" spans="1:3" x14ac:dyDescent="0.25">
      <c r="B6" s="18" t="s">
        <v>2</v>
      </c>
      <c r="C6" s="1" t="s">
        <v>89</v>
      </c>
    </row>
    <row r="7" spans="1:3" x14ac:dyDescent="0.25">
      <c r="A7" s="3" t="s">
        <v>3</v>
      </c>
    </row>
    <row r="8" spans="1:3" x14ac:dyDescent="0.25">
      <c r="A8" s="4" t="s">
        <v>4</v>
      </c>
    </row>
    <row r="9" spans="1:3" x14ac:dyDescent="0.25">
      <c r="A9" s="5" t="s">
        <v>5</v>
      </c>
    </row>
    <row r="10" spans="1:3" x14ac:dyDescent="0.25">
      <c r="A10" s="6" t="s">
        <v>6</v>
      </c>
      <c r="B10" s="14">
        <v>159967.74</v>
      </c>
      <c r="C10" s="14">
        <v>162416.22</v>
      </c>
    </row>
    <row r="11" spans="1:3" x14ac:dyDescent="0.25">
      <c r="A11" s="6" t="s">
        <v>7</v>
      </c>
      <c r="B11" s="14">
        <v>1210.43</v>
      </c>
      <c r="C11" s="14">
        <v>701.12</v>
      </c>
    </row>
    <row r="12" spans="1:3" x14ac:dyDescent="0.25">
      <c r="A12" s="6" t="s">
        <v>8</v>
      </c>
      <c r="B12" s="14">
        <v>42740.78</v>
      </c>
      <c r="C12" s="14">
        <v>42796.68</v>
      </c>
    </row>
    <row r="13" spans="1:3" x14ac:dyDescent="0.25">
      <c r="A13" s="6" t="s">
        <v>9</v>
      </c>
      <c r="B13" s="14">
        <v>196166.49</v>
      </c>
      <c r="C13" s="14">
        <v>319615.78000000003</v>
      </c>
    </row>
    <row r="14" spans="1:3" x14ac:dyDescent="0.25">
      <c r="A14" s="6" t="s">
        <v>10</v>
      </c>
      <c r="B14" s="14">
        <v>5205.7700000000004</v>
      </c>
      <c r="C14" s="14">
        <v>2312.27</v>
      </c>
    </row>
    <row r="15" spans="1:3" x14ac:dyDescent="0.25">
      <c r="A15" s="6" t="s">
        <v>11</v>
      </c>
      <c r="B15" s="14">
        <v>76377.69</v>
      </c>
      <c r="C15" s="14">
        <v>73801.710000000006</v>
      </c>
    </row>
    <row r="16" spans="1:3" x14ac:dyDescent="0.25">
      <c r="A16" s="7" t="s">
        <v>12</v>
      </c>
      <c r="B16" s="15">
        <f>B9+B10+B11+B12+B13+B14+B15</f>
        <v>481668.89999999997</v>
      </c>
      <c r="C16" s="15">
        <f>C9+C10+C11+C12+C13+C14+C15</f>
        <v>601643.78</v>
      </c>
    </row>
    <row r="17" spans="1:3" x14ac:dyDescent="0.25">
      <c r="A17" s="5" t="s">
        <v>13</v>
      </c>
    </row>
    <row r="18" spans="1:3" x14ac:dyDescent="0.25">
      <c r="A18" s="6" t="s">
        <v>14</v>
      </c>
      <c r="B18" s="14">
        <v>161991.79</v>
      </c>
      <c r="C18" s="14">
        <v>11741.79</v>
      </c>
    </row>
    <row r="19" spans="1:3" x14ac:dyDescent="0.25">
      <c r="A19" s="6" t="s">
        <v>15</v>
      </c>
      <c r="B19" s="16">
        <v>0</v>
      </c>
      <c r="C19" s="14">
        <v>-101.25</v>
      </c>
    </row>
    <row r="20" spans="1:3" x14ac:dyDescent="0.25">
      <c r="A20" s="7" t="s">
        <v>16</v>
      </c>
      <c r="B20" s="15">
        <f>B17+B18+B19</f>
        <v>161991.79</v>
      </c>
      <c r="C20" s="15">
        <f>C17+C18+C19</f>
        <v>11640.54</v>
      </c>
    </row>
    <row r="21" spans="1:3" x14ac:dyDescent="0.25">
      <c r="A21" s="5" t="s">
        <v>17</v>
      </c>
    </row>
    <row r="22" spans="1:3" x14ac:dyDescent="0.25">
      <c r="A22" s="6" t="s">
        <v>18</v>
      </c>
      <c r="B22" s="14">
        <v>11892.97</v>
      </c>
      <c r="C22" s="14">
        <v>14916.97</v>
      </c>
    </row>
    <row r="23" spans="1:3" x14ac:dyDescent="0.25">
      <c r="A23" s="6" t="s">
        <v>19</v>
      </c>
      <c r="B23" s="14">
        <v>11881.51</v>
      </c>
      <c r="C23" s="14">
        <v>19637.419999999998</v>
      </c>
    </row>
    <row r="24" spans="1:3" x14ac:dyDescent="0.25">
      <c r="A24" s="6" t="s">
        <v>20</v>
      </c>
      <c r="B24" s="14">
        <v>711.65</v>
      </c>
      <c r="C24" s="16">
        <v>0</v>
      </c>
    </row>
    <row r="25" spans="1:3" x14ac:dyDescent="0.25">
      <c r="A25" s="6" t="s">
        <v>21</v>
      </c>
      <c r="B25" s="16">
        <v>0</v>
      </c>
      <c r="C25" s="14">
        <v>600</v>
      </c>
    </row>
    <row r="26" spans="1:3" x14ac:dyDescent="0.25">
      <c r="A26" s="6" t="s">
        <v>22</v>
      </c>
      <c r="B26" s="17"/>
      <c r="C26" s="17"/>
    </row>
    <row r="27" spans="1:3" x14ac:dyDescent="0.25">
      <c r="A27" s="8" t="s">
        <v>23</v>
      </c>
      <c r="B27" s="16">
        <v>0</v>
      </c>
      <c r="C27" s="14">
        <v>9.31</v>
      </c>
    </row>
    <row r="28" spans="1:3" x14ac:dyDescent="0.25">
      <c r="A28" s="9" t="s">
        <v>24</v>
      </c>
      <c r="B28" s="15">
        <f>B26+B27</f>
        <v>0</v>
      </c>
      <c r="C28" s="15">
        <f>C26+C27</f>
        <v>9.31</v>
      </c>
    </row>
    <row r="29" spans="1:3" x14ac:dyDescent="0.25">
      <c r="A29" s="6" t="s">
        <v>25</v>
      </c>
      <c r="B29" s="16">
        <v>0</v>
      </c>
      <c r="C29" s="14">
        <v>-1848.28</v>
      </c>
    </row>
    <row r="30" spans="1:3" x14ac:dyDescent="0.25">
      <c r="A30" s="7" t="s">
        <v>26</v>
      </c>
      <c r="B30" s="15">
        <f>B21+B22+B23+B24+B25+B28+B29</f>
        <v>24486.13</v>
      </c>
      <c r="C30" s="15">
        <f>C21+C22+C23+C24+C25+C28+C29</f>
        <v>33315.42</v>
      </c>
    </row>
    <row r="31" spans="1:3" x14ac:dyDescent="0.25">
      <c r="A31" s="10" t="s">
        <v>27</v>
      </c>
      <c r="B31" s="15">
        <f>B8+B16+B20+B30</f>
        <v>668146.81999999995</v>
      </c>
      <c r="C31" s="15">
        <f>C8+C16+C20+C30</f>
        <v>646599.74000000011</v>
      </c>
    </row>
    <row r="32" spans="1:3" x14ac:dyDescent="0.25">
      <c r="A32" s="4" t="s">
        <v>28</v>
      </c>
    </row>
    <row r="33" spans="1:3" x14ac:dyDescent="0.25">
      <c r="A33" s="5" t="s">
        <v>29</v>
      </c>
      <c r="B33" s="14">
        <v>74227</v>
      </c>
      <c r="C33" s="14">
        <v>74227</v>
      </c>
    </row>
    <row r="34" spans="1:3" x14ac:dyDescent="0.25">
      <c r="A34" s="5" t="s">
        <v>30</v>
      </c>
      <c r="B34" s="14">
        <v>52133.8</v>
      </c>
      <c r="C34" s="14">
        <v>52133.8</v>
      </c>
    </row>
    <row r="35" spans="1:3" x14ac:dyDescent="0.25">
      <c r="A35" s="6" t="s">
        <v>31</v>
      </c>
      <c r="B35" s="14">
        <v>127839.64</v>
      </c>
      <c r="C35" s="14">
        <v>127839.64</v>
      </c>
    </row>
    <row r="36" spans="1:3" x14ac:dyDescent="0.25">
      <c r="A36" s="6" t="s">
        <v>32</v>
      </c>
      <c r="B36" s="14">
        <v>22684.639999999999</v>
      </c>
      <c r="C36" s="14">
        <v>22684.639999999999</v>
      </c>
    </row>
    <row r="37" spans="1:3" x14ac:dyDescent="0.25">
      <c r="A37" s="6" t="s">
        <v>33</v>
      </c>
      <c r="B37" s="14">
        <v>-127839.64</v>
      </c>
      <c r="C37" s="14">
        <v>-127839.64</v>
      </c>
    </row>
    <row r="38" spans="1:3" x14ac:dyDescent="0.25">
      <c r="A38" s="6" t="s">
        <v>34</v>
      </c>
      <c r="B38" s="14">
        <v>-20945.580000000002</v>
      </c>
      <c r="C38" s="14">
        <v>-18223.41</v>
      </c>
    </row>
    <row r="39" spans="1:3" x14ac:dyDescent="0.25">
      <c r="A39" s="6" t="s">
        <v>35</v>
      </c>
      <c r="B39" s="14">
        <v>-44233.8</v>
      </c>
      <c r="C39" s="14">
        <v>-32383.8</v>
      </c>
    </row>
    <row r="40" spans="1:3" x14ac:dyDescent="0.25">
      <c r="A40" s="7" t="s">
        <v>36</v>
      </c>
      <c r="B40" s="15">
        <f>B34+B35+B36+B37+B38+B39</f>
        <v>9639.0600000000122</v>
      </c>
      <c r="C40" s="15">
        <f>C34+C35+C36+C37+C38+C39</f>
        <v>24211.230000000014</v>
      </c>
    </row>
    <row r="41" spans="1:3" x14ac:dyDescent="0.25">
      <c r="A41" s="10" t="s">
        <v>37</v>
      </c>
      <c r="B41" s="15">
        <f>B32+B33+B40</f>
        <v>83866.060000000012</v>
      </c>
      <c r="C41" s="15">
        <f>C32+C33+C40</f>
        <v>98438.23000000001</v>
      </c>
    </row>
    <row r="42" spans="1:3" x14ac:dyDescent="0.25">
      <c r="A42" s="4" t="s">
        <v>38</v>
      </c>
    </row>
    <row r="43" spans="1:3" x14ac:dyDescent="0.25">
      <c r="A43" s="5" t="s">
        <v>39</v>
      </c>
      <c r="B43" s="14">
        <v>1550506</v>
      </c>
      <c r="C43" s="14">
        <v>1493171</v>
      </c>
    </row>
    <row r="44" spans="1:3" x14ac:dyDescent="0.25">
      <c r="A44" s="5" t="s">
        <v>40</v>
      </c>
      <c r="B44" s="16">
        <v>0</v>
      </c>
      <c r="C44" s="14">
        <v>1283.0899999999999</v>
      </c>
    </row>
    <row r="45" spans="1:3" x14ac:dyDescent="0.25">
      <c r="A45" s="10" t="s">
        <v>41</v>
      </c>
      <c r="B45" s="15">
        <f>B42+B43+B44</f>
        <v>1550506</v>
      </c>
      <c r="C45" s="15">
        <f>C42+C43+C44</f>
        <v>1494454.09</v>
      </c>
    </row>
    <row r="46" spans="1:3" x14ac:dyDescent="0.25">
      <c r="A46" s="19" t="s">
        <v>42</v>
      </c>
      <c r="B46" s="20">
        <f>B7+B31+B41+B45</f>
        <v>2302518.88</v>
      </c>
      <c r="C46" s="20">
        <f>C7+C31+C41+C45</f>
        <v>2239492.06</v>
      </c>
    </row>
    <row r="47" spans="1:3" x14ac:dyDescent="0.25">
      <c r="A47" s="3" t="s">
        <v>43</v>
      </c>
    </row>
    <row r="48" spans="1:3" x14ac:dyDescent="0.25">
      <c r="A48" s="4" t="s">
        <v>44</v>
      </c>
    </row>
    <row r="49" spans="1:3" x14ac:dyDescent="0.25">
      <c r="A49" s="5" t="s">
        <v>45</v>
      </c>
    </row>
    <row r="50" spans="1:3" x14ac:dyDescent="0.25">
      <c r="A50" s="6" t="s">
        <v>46</v>
      </c>
    </row>
    <row r="51" spans="1:3" x14ac:dyDescent="0.25">
      <c r="A51" s="8" t="s">
        <v>47</v>
      </c>
      <c r="B51" s="14">
        <v>2160.61</v>
      </c>
      <c r="C51" s="14">
        <v>31.15</v>
      </c>
    </row>
    <row r="52" spans="1:3" x14ac:dyDescent="0.25">
      <c r="A52" s="12" t="s">
        <v>48</v>
      </c>
      <c r="B52" s="14">
        <v>-586.82000000000005</v>
      </c>
      <c r="C52" s="14">
        <v>19086.03</v>
      </c>
    </row>
    <row r="53" spans="1:3" x14ac:dyDescent="0.25">
      <c r="A53" s="13" t="s">
        <v>49</v>
      </c>
      <c r="B53" s="15">
        <f>B51+B52</f>
        <v>1573.79</v>
      </c>
      <c r="C53" s="15">
        <f>C51+C52</f>
        <v>19117.18</v>
      </c>
    </row>
    <row r="54" spans="1:3" x14ac:dyDescent="0.25">
      <c r="A54" s="9" t="s">
        <v>50</v>
      </c>
      <c r="B54" s="15">
        <f>B50+B53</f>
        <v>1573.79</v>
      </c>
      <c r="C54" s="15">
        <f>C50+C53</f>
        <v>19117.18</v>
      </c>
    </row>
    <row r="55" spans="1:3" x14ac:dyDescent="0.25">
      <c r="A55" s="6" t="s">
        <v>51</v>
      </c>
    </row>
    <row r="56" spans="1:3" x14ac:dyDescent="0.25">
      <c r="A56" s="8" t="s">
        <v>52</v>
      </c>
      <c r="B56" s="16">
        <v>0</v>
      </c>
      <c r="C56" s="14">
        <v>6812.22</v>
      </c>
    </row>
    <row r="57" spans="1:3" x14ac:dyDescent="0.25">
      <c r="A57" s="8" t="s">
        <v>53</v>
      </c>
      <c r="B57" s="14">
        <v>3530.26</v>
      </c>
      <c r="C57" s="17"/>
    </row>
    <row r="58" spans="1:3" x14ac:dyDescent="0.25">
      <c r="A58" s="9" t="s">
        <v>54</v>
      </c>
      <c r="B58" s="15">
        <f>B55+B56+B57</f>
        <v>3530.26</v>
      </c>
      <c r="C58" s="15">
        <f>C55+C56+C57</f>
        <v>6812.22</v>
      </c>
    </row>
    <row r="59" spans="1:3" x14ac:dyDescent="0.25">
      <c r="A59" s="6" t="s">
        <v>55</v>
      </c>
    </row>
    <row r="60" spans="1:3" x14ac:dyDescent="0.25">
      <c r="A60" s="8" t="s">
        <v>56</v>
      </c>
      <c r="B60" s="16">
        <v>0</v>
      </c>
      <c r="C60" s="14">
        <v>13.5</v>
      </c>
    </row>
    <row r="61" spans="1:3" x14ac:dyDescent="0.25">
      <c r="A61" s="8" t="s">
        <v>57</v>
      </c>
      <c r="B61" s="14">
        <v>484.54</v>
      </c>
      <c r="C61" s="14">
        <v>-2810.46</v>
      </c>
    </row>
    <row r="62" spans="1:3" x14ac:dyDescent="0.25">
      <c r="A62" s="8" t="s">
        <v>58</v>
      </c>
      <c r="B62" s="16">
        <v>0</v>
      </c>
      <c r="C62" s="14">
        <v>34</v>
      </c>
    </row>
    <row r="63" spans="1:3" x14ac:dyDescent="0.25">
      <c r="A63" s="8" t="s">
        <v>59</v>
      </c>
      <c r="B63" s="14">
        <v>15271.23</v>
      </c>
      <c r="C63" s="14">
        <v>20400.2</v>
      </c>
    </row>
    <row r="64" spans="1:3" x14ac:dyDescent="0.25">
      <c r="A64" s="8" t="s">
        <v>60</v>
      </c>
      <c r="B64" s="16">
        <v>0</v>
      </c>
      <c r="C64" s="14">
        <v>-4674</v>
      </c>
    </row>
    <row r="65" spans="1:3" x14ac:dyDescent="0.25">
      <c r="A65" s="12" t="s">
        <v>61</v>
      </c>
      <c r="B65" s="16">
        <v>0</v>
      </c>
      <c r="C65" s="14">
        <v>1458.8</v>
      </c>
    </row>
    <row r="66" spans="1:3" x14ac:dyDescent="0.25">
      <c r="A66" s="12" t="s">
        <v>62</v>
      </c>
      <c r="B66" s="14">
        <v>393.66</v>
      </c>
      <c r="C66" s="14">
        <v>12402.82</v>
      </c>
    </row>
    <row r="67" spans="1:3" x14ac:dyDescent="0.25">
      <c r="A67" s="12" t="s">
        <v>63</v>
      </c>
      <c r="B67" s="16">
        <v>0</v>
      </c>
      <c r="C67" s="14">
        <v>-1196.04</v>
      </c>
    </row>
    <row r="68" spans="1:3" x14ac:dyDescent="0.25">
      <c r="A68" s="12" t="s">
        <v>64</v>
      </c>
      <c r="B68" s="16">
        <v>0</v>
      </c>
      <c r="C68" s="14">
        <v>-56136.84</v>
      </c>
    </row>
    <row r="69" spans="1:3" x14ac:dyDescent="0.25">
      <c r="A69" s="12" t="s">
        <v>65</v>
      </c>
      <c r="B69" s="16">
        <v>0</v>
      </c>
      <c r="C69" s="14">
        <v>-185.45</v>
      </c>
    </row>
    <row r="70" spans="1:3" x14ac:dyDescent="0.25">
      <c r="A70" s="13" t="s">
        <v>66</v>
      </c>
      <c r="B70" s="15">
        <f>B64+B65+B66+B67+B68+B69</f>
        <v>393.66</v>
      </c>
      <c r="C70" s="15">
        <f>C64+C65+C66+C67+C68+C69</f>
        <v>-48330.709999999992</v>
      </c>
    </row>
    <row r="71" spans="1:3" x14ac:dyDescent="0.25">
      <c r="A71" s="8" t="s">
        <v>67</v>
      </c>
      <c r="B71" s="14">
        <v>24114</v>
      </c>
      <c r="C71" s="14">
        <v>24114</v>
      </c>
    </row>
    <row r="72" spans="1:3" x14ac:dyDescent="0.25">
      <c r="A72" s="8" t="s">
        <v>68</v>
      </c>
      <c r="B72" s="16">
        <v>0</v>
      </c>
      <c r="C72" s="14">
        <v>-3280.77</v>
      </c>
    </row>
    <row r="73" spans="1:3" x14ac:dyDescent="0.25">
      <c r="A73" s="8" t="s">
        <v>69</v>
      </c>
      <c r="B73" s="16">
        <v>0</v>
      </c>
      <c r="C73" s="14">
        <v>417.88</v>
      </c>
    </row>
    <row r="74" spans="1:3" x14ac:dyDescent="0.25">
      <c r="A74" s="12" t="s">
        <v>70</v>
      </c>
      <c r="B74" s="16">
        <v>0</v>
      </c>
      <c r="C74" s="14">
        <v>3952.25</v>
      </c>
    </row>
    <row r="75" spans="1:3" x14ac:dyDescent="0.25">
      <c r="A75" s="12" t="s">
        <v>71</v>
      </c>
      <c r="B75" s="16">
        <v>0</v>
      </c>
      <c r="C75" s="14">
        <v>836.92</v>
      </c>
    </row>
    <row r="76" spans="1:3" x14ac:dyDescent="0.25">
      <c r="A76" s="12" t="s">
        <v>72</v>
      </c>
      <c r="B76" s="16">
        <v>0</v>
      </c>
      <c r="C76" s="14">
        <v>-837.81</v>
      </c>
    </row>
    <row r="77" spans="1:3" x14ac:dyDescent="0.25">
      <c r="A77" s="12" t="s">
        <v>73</v>
      </c>
      <c r="B77" s="16">
        <v>0</v>
      </c>
      <c r="C77" s="14">
        <v>55181.62</v>
      </c>
    </row>
    <row r="78" spans="1:3" x14ac:dyDescent="0.25">
      <c r="A78" s="12" t="s">
        <v>74</v>
      </c>
      <c r="B78" s="16">
        <v>0</v>
      </c>
      <c r="C78" s="14">
        <v>477.42</v>
      </c>
    </row>
    <row r="79" spans="1:3" x14ac:dyDescent="0.25">
      <c r="A79" s="13" t="s">
        <v>75</v>
      </c>
      <c r="B79" s="15">
        <f>B73+B74+B75+B76+B77+B78</f>
        <v>0</v>
      </c>
      <c r="C79" s="15">
        <f>C73+C74+C75+C76+C77+C78</f>
        <v>60028.28</v>
      </c>
    </row>
    <row r="80" spans="1:3" x14ac:dyDescent="0.25">
      <c r="A80" s="9" t="s">
        <v>76</v>
      </c>
      <c r="B80" s="15">
        <f>B59+B60+B61+B62+B63+B70+B71+B72+B79</f>
        <v>40263.43</v>
      </c>
      <c r="C80" s="15">
        <f>C59+C60+C61+C62+C63+C70+C71+C72+C79</f>
        <v>50168.040000000008</v>
      </c>
    </row>
    <row r="81" spans="1:3" x14ac:dyDescent="0.25">
      <c r="A81" s="7" t="s">
        <v>77</v>
      </c>
      <c r="B81" s="15">
        <f>B49+B54+B58+B80</f>
        <v>45367.48</v>
      </c>
      <c r="C81" s="15">
        <f>C49+C54+C58+C80</f>
        <v>76097.440000000002</v>
      </c>
    </row>
    <row r="82" spans="1:3" x14ac:dyDescent="0.25">
      <c r="A82" s="21" t="s">
        <v>78</v>
      </c>
      <c r="B82" s="20">
        <f>B48+B81</f>
        <v>45367.48</v>
      </c>
      <c r="C82" s="20">
        <f>C48+C81</f>
        <v>76097.440000000002</v>
      </c>
    </row>
    <row r="83" spans="1:3" x14ac:dyDescent="0.25">
      <c r="A83" s="4" t="s">
        <v>79</v>
      </c>
    </row>
    <row r="84" spans="1:3" x14ac:dyDescent="0.25">
      <c r="A84" s="5" t="s">
        <v>80</v>
      </c>
      <c r="B84" s="14">
        <v>11429.62</v>
      </c>
      <c r="C84" s="14">
        <v>11429.62</v>
      </c>
    </row>
    <row r="85" spans="1:3" x14ac:dyDescent="0.25">
      <c r="A85" s="5" t="s">
        <v>81</v>
      </c>
      <c r="B85" s="14">
        <v>1550506</v>
      </c>
      <c r="C85" s="14">
        <v>1493171</v>
      </c>
    </row>
    <row r="86" spans="1:3" x14ac:dyDescent="0.25">
      <c r="A86" s="5" t="s">
        <v>82</v>
      </c>
      <c r="B86" s="14">
        <v>91636.18</v>
      </c>
      <c r="C86" s="14">
        <v>91636.18</v>
      </c>
    </row>
    <row r="87" spans="1:3" x14ac:dyDescent="0.25">
      <c r="A87" s="5" t="s">
        <v>83</v>
      </c>
      <c r="B87" s="14">
        <v>495569.10000000091</v>
      </c>
      <c r="C87" s="14">
        <v>461239.63000000059</v>
      </c>
    </row>
    <row r="88" spans="1:3" x14ac:dyDescent="0.25">
      <c r="A88" s="5" t="s">
        <v>84</v>
      </c>
      <c r="B88" s="14">
        <v>108010.49999999999</v>
      </c>
      <c r="C88" s="14">
        <v>105918.19000000003</v>
      </c>
    </row>
    <row r="89" spans="1:3" x14ac:dyDescent="0.25">
      <c r="A89" s="21" t="s">
        <v>85</v>
      </c>
      <c r="B89" s="20">
        <f>B83+B84+B85+B86+B87+B88</f>
        <v>2257151.4000000008</v>
      </c>
      <c r="C89" s="20">
        <f>C83+C84+C85+C86+C87+C88</f>
        <v>2163394.6200000006</v>
      </c>
    </row>
    <row r="90" spans="1:3" x14ac:dyDescent="0.25">
      <c r="A90" s="11" t="s">
        <v>86</v>
      </c>
      <c r="B90" s="15">
        <f>B47+B82+B89</f>
        <v>2302518.8800000008</v>
      </c>
      <c r="C90" s="15">
        <f>C47+C82+C89</f>
        <v>2239492.0600000005</v>
      </c>
    </row>
    <row r="94" spans="1:3" x14ac:dyDescent="0.25">
      <c r="A94" s="45" t="s">
        <v>90</v>
      </c>
      <c r="B94" s="42"/>
      <c r="C94" s="42"/>
    </row>
  </sheetData>
  <mergeCells count="5">
    <mergeCell ref="A1:C1"/>
    <mergeCell ref="A2:C2"/>
    <mergeCell ref="A3:C3"/>
    <mergeCell ref="B5:C5"/>
    <mergeCell ref="A94:C94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7AD1-A10B-4EC0-9DF5-E3C03B2FE75E}">
  <dimension ref="A1:C159"/>
  <sheetViews>
    <sheetView topLeftCell="A91" workbookViewId="0">
      <selection activeCell="B21" sqref="B21"/>
    </sheetView>
  </sheetViews>
  <sheetFormatPr defaultColWidth="11.25" defaultRowHeight="15.75" x14ac:dyDescent="0.25"/>
  <cols>
    <col min="1" max="1" width="37.625" style="2" customWidth="1"/>
    <col min="2" max="2" width="17" style="2" customWidth="1"/>
    <col min="3" max="3" width="21.25" style="2" customWidth="1"/>
  </cols>
  <sheetData>
    <row r="1" spans="1:3" x14ac:dyDescent="0.25">
      <c r="A1" s="41" t="s">
        <v>0</v>
      </c>
      <c r="B1" s="42"/>
      <c r="C1" s="42"/>
    </row>
    <row r="2" spans="1:3" x14ac:dyDescent="0.25">
      <c r="A2" s="43" t="s">
        <v>207</v>
      </c>
      <c r="B2" s="42"/>
      <c r="C2" s="42"/>
    </row>
    <row r="3" spans="1:3" x14ac:dyDescent="0.25">
      <c r="A3" s="44" t="s">
        <v>206</v>
      </c>
      <c r="B3" s="42"/>
      <c r="C3" s="42"/>
    </row>
    <row r="5" spans="1:3" x14ac:dyDescent="0.25">
      <c r="A5" s="1" t="s">
        <v>87</v>
      </c>
      <c r="B5" s="46" t="s">
        <v>88</v>
      </c>
      <c r="C5" s="42"/>
    </row>
    <row r="6" spans="1:3" x14ac:dyDescent="0.25">
      <c r="B6" s="18" t="s">
        <v>205</v>
      </c>
      <c r="C6" s="1" t="s">
        <v>204</v>
      </c>
    </row>
    <row r="7" spans="1:3" x14ac:dyDescent="0.25">
      <c r="A7" s="3" t="s">
        <v>203</v>
      </c>
    </row>
    <row r="8" spans="1:3" x14ac:dyDescent="0.25">
      <c r="A8" s="4" t="s">
        <v>202</v>
      </c>
      <c r="B8" s="17"/>
      <c r="C8" s="17"/>
    </row>
    <row r="9" spans="1:3" x14ac:dyDescent="0.25">
      <c r="A9" s="5" t="s">
        <v>201</v>
      </c>
      <c r="B9" s="17"/>
      <c r="C9" s="14">
        <v>5750</v>
      </c>
    </row>
    <row r="10" spans="1:3" x14ac:dyDescent="0.25">
      <c r="A10" s="5" t="s">
        <v>200</v>
      </c>
      <c r="B10" s="14">
        <v>2540</v>
      </c>
      <c r="C10" s="14">
        <v>5642.96</v>
      </c>
    </row>
    <row r="11" spans="1:3" x14ac:dyDescent="0.25">
      <c r="A11" s="5" t="s">
        <v>199</v>
      </c>
      <c r="B11" s="14">
        <v>15</v>
      </c>
      <c r="C11" s="17"/>
    </row>
    <row r="12" spans="1:3" x14ac:dyDescent="0.25">
      <c r="A12" s="5" t="s">
        <v>198</v>
      </c>
      <c r="B12" s="14">
        <v>555</v>
      </c>
      <c r="C12" s="14">
        <v>374.6</v>
      </c>
    </row>
    <row r="13" spans="1:3" x14ac:dyDescent="0.25">
      <c r="A13" s="10" t="s">
        <v>197</v>
      </c>
      <c r="B13" s="15">
        <f>B8+B9+B10+B11+B12</f>
        <v>3110</v>
      </c>
      <c r="C13" s="15">
        <f>C8+C9+C10+C11+C12</f>
        <v>11767.56</v>
      </c>
    </row>
    <row r="14" spans="1:3" x14ac:dyDescent="0.25">
      <c r="A14" s="4" t="s">
        <v>196</v>
      </c>
      <c r="B14" s="17"/>
      <c r="C14" s="17"/>
    </row>
    <row r="15" spans="1:3" x14ac:dyDescent="0.25">
      <c r="A15" s="5" t="s">
        <v>195</v>
      </c>
      <c r="B15" s="17"/>
      <c r="C15" s="14">
        <v>1665</v>
      </c>
    </row>
    <row r="16" spans="1:3" x14ac:dyDescent="0.25">
      <c r="A16" s="5" t="s">
        <v>194</v>
      </c>
      <c r="B16" s="14">
        <v>401250</v>
      </c>
      <c r="C16" s="14">
        <v>401250</v>
      </c>
    </row>
    <row r="17" spans="1:3" x14ac:dyDescent="0.25">
      <c r="A17" s="5" t="s">
        <v>193</v>
      </c>
      <c r="B17" s="14">
        <v>13800</v>
      </c>
      <c r="C17" s="14">
        <v>1000</v>
      </c>
    </row>
    <row r="18" spans="1:3" x14ac:dyDescent="0.25">
      <c r="A18" s="10" t="s">
        <v>192</v>
      </c>
      <c r="B18" s="15">
        <f>B14+B15+B16+B17</f>
        <v>415050</v>
      </c>
      <c r="C18" s="15">
        <f>C14+C15+C16+C17</f>
        <v>403915</v>
      </c>
    </row>
    <row r="19" spans="1:3" x14ac:dyDescent="0.25">
      <c r="A19" s="4" t="s">
        <v>191</v>
      </c>
      <c r="B19" s="17"/>
      <c r="C19" s="17"/>
    </row>
    <row r="20" spans="1:3" x14ac:dyDescent="0.25">
      <c r="A20" s="5" t="s">
        <v>190</v>
      </c>
      <c r="B20" s="14">
        <v>19220</v>
      </c>
      <c r="C20" s="14">
        <v>14300</v>
      </c>
    </row>
    <row r="21" spans="1:3" x14ac:dyDescent="0.25">
      <c r="A21" s="5" t="s">
        <v>189</v>
      </c>
      <c r="B21" s="14">
        <v>35381.03</v>
      </c>
      <c r="C21" s="14">
        <v>31928</v>
      </c>
    </row>
    <row r="22" spans="1:3" x14ac:dyDescent="0.25">
      <c r="A22" s="5" t="s">
        <v>188</v>
      </c>
      <c r="B22" s="14">
        <v>45250</v>
      </c>
      <c r="C22" s="14">
        <v>34741</v>
      </c>
    </row>
    <row r="23" spans="1:3" x14ac:dyDescent="0.25">
      <c r="A23" s="5" t="s">
        <v>187</v>
      </c>
      <c r="B23" s="17"/>
      <c r="C23" s="14">
        <v>70</v>
      </c>
    </row>
    <row r="24" spans="1:3" x14ac:dyDescent="0.25">
      <c r="A24" s="5" t="s">
        <v>186</v>
      </c>
      <c r="B24" s="17"/>
      <c r="C24" s="14">
        <v>450</v>
      </c>
    </row>
    <row r="25" spans="1:3" x14ac:dyDescent="0.25">
      <c r="A25" s="5" t="s">
        <v>185</v>
      </c>
      <c r="B25" s="14">
        <v>295</v>
      </c>
      <c r="C25" s="17"/>
    </row>
    <row r="26" spans="1:3" x14ac:dyDescent="0.25">
      <c r="A26" s="10" t="s">
        <v>184</v>
      </c>
      <c r="B26" s="15">
        <f>B19+B20+B21+B22+B23+B24+B25</f>
        <v>100146.03</v>
      </c>
      <c r="C26" s="15">
        <f>C19+C20+C21+C22+C23+C24+C25</f>
        <v>81489</v>
      </c>
    </row>
    <row r="27" spans="1:3" x14ac:dyDescent="0.25">
      <c r="A27" s="4" t="s">
        <v>183</v>
      </c>
      <c r="B27" s="14">
        <v>509.29</v>
      </c>
      <c r="C27" s="17"/>
    </row>
    <row r="28" spans="1:3" x14ac:dyDescent="0.25">
      <c r="A28" s="4" t="s">
        <v>182</v>
      </c>
      <c r="B28" s="14">
        <v>2603.56</v>
      </c>
      <c r="C28" s="14">
        <v>2858.59</v>
      </c>
    </row>
    <row r="29" spans="1:3" x14ac:dyDescent="0.25">
      <c r="A29" s="4" t="s">
        <v>181</v>
      </c>
      <c r="B29" s="16">
        <v>19758.84</v>
      </c>
      <c r="C29" s="16">
        <v>9263.6899999999987</v>
      </c>
    </row>
    <row r="30" spans="1:3" x14ac:dyDescent="0.25">
      <c r="A30" s="4" t="s">
        <v>180</v>
      </c>
      <c r="B30" s="17"/>
      <c r="C30" s="17"/>
    </row>
    <row r="31" spans="1:3" x14ac:dyDescent="0.25">
      <c r="A31" s="5" t="s">
        <v>179</v>
      </c>
      <c r="B31" s="17"/>
      <c r="C31" s="17"/>
    </row>
    <row r="32" spans="1:3" x14ac:dyDescent="0.25">
      <c r="A32" s="6" t="s">
        <v>178</v>
      </c>
      <c r="B32" s="17"/>
      <c r="C32" s="14">
        <v>75</v>
      </c>
    </row>
    <row r="33" spans="1:3" x14ac:dyDescent="0.25">
      <c r="A33" s="7" t="s">
        <v>177</v>
      </c>
      <c r="B33" s="15">
        <f>B31+B32</f>
        <v>0</v>
      </c>
      <c r="C33" s="15">
        <f>C31+C32</f>
        <v>75</v>
      </c>
    </row>
    <row r="34" spans="1:3" x14ac:dyDescent="0.25">
      <c r="A34" s="10" t="s">
        <v>176</v>
      </c>
      <c r="B34" s="15">
        <f>B30+B33</f>
        <v>0</v>
      </c>
      <c r="C34" s="15">
        <f>C30+C33</f>
        <v>75</v>
      </c>
    </row>
    <row r="35" spans="1:3" x14ac:dyDescent="0.25">
      <c r="A35" s="4" t="s">
        <v>175</v>
      </c>
      <c r="B35" s="17"/>
      <c r="C35" s="14">
        <v>364</v>
      </c>
    </row>
    <row r="36" spans="1:3" x14ac:dyDescent="0.25">
      <c r="A36" s="4" t="s">
        <v>174</v>
      </c>
      <c r="B36" s="17"/>
      <c r="C36" s="17"/>
    </row>
    <row r="37" spans="1:3" x14ac:dyDescent="0.25">
      <c r="A37" s="5" t="s">
        <v>173</v>
      </c>
      <c r="B37" s="17"/>
      <c r="C37" s="17"/>
    </row>
    <row r="38" spans="1:3" x14ac:dyDescent="0.25">
      <c r="A38" s="6" t="s">
        <v>172</v>
      </c>
      <c r="B38" s="17"/>
      <c r="C38" s="14">
        <v>535</v>
      </c>
    </row>
    <row r="39" spans="1:3" x14ac:dyDescent="0.25">
      <c r="A39" s="7" t="s">
        <v>171</v>
      </c>
      <c r="B39" s="15">
        <f>B37+B38</f>
        <v>0</v>
      </c>
      <c r="C39" s="15">
        <f>C37+C38</f>
        <v>535</v>
      </c>
    </row>
    <row r="40" spans="1:3" x14ac:dyDescent="0.25">
      <c r="A40" s="5" t="s">
        <v>170</v>
      </c>
      <c r="B40" s="17"/>
      <c r="C40" s="17"/>
    </row>
    <row r="41" spans="1:3" x14ac:dyDescent="0.25">
      <c r="A41" s="6" t="s">
        <v>169</v>
      </c>
      <c r="B41" s="17"/>
      <c r="C41" s="14">
        <v>300</v>
      </c>
    </row>
    <row r="42" spans="1:3" x14ac:dyDescent="0.25">
      <c r="A42" s="6" t="s">
        <v>168</v>
      </c>
      <c r="B42" s="17"/>
      <c r="C42" s="14">
        <v>14146.47</v>
      </c>
    </row>
    <row r="43" spans="1:3" x14ac:dyDescent="0.25">
      <c r="A43" s="7" t="s">
        <v>167</v>
      </c>
      <c r="B43" s="15">
        <f>B40+B41+B42</f>
        <v>0</v>
      </c>
      <c r="C43" s="15">
        <f>C40+C41+C42</f>
        <v>14446.47</v>
      </c>
    </row>
    <row r="44" spans="1:3" x14ac:dyDescent="0.25">
      <c r="A44" s="10" t="s">
        <v>166</v>
      </c>
      <c r="B44" s="15">
        <f>B36+B39+B43</f>
        <v>0</v>
      </c>
      <c r="C44" s="15">
        <f>C36+C39+C43</f>
        <v>14981.47</v>
      </c>
    </row>
    <row r="45" spans="1:3" x14ac:dyDescent="0.25">
      <c r="A45" s="11" t="s">
        <v>165</v>
      </c>
      <c r="B45" s="15">
        <v>541177.72</v>
      </c>
      <c r="C45" s="15">
        <v>524714.31000000006</v>
      </c>
    </row>
    <row r="46" spans="1:3" x14ac:dyDescent="0.25">
      <c r="A46" s="3" t="s">
        <v>164</v>
      </c>
    </row>
    <row r="47" spans="1:3" x14ac:dyDescent="0.25">
      <c r="A47" s="4" t="s">
        <v>163</v>
      </c>
      <c r="B47" s="17"/>
      <c r="C47" s="14">
        <v>7439.46</v>
      </c>
    </row>
    <row r="48" spans="1:3" x14ac:dyDescent="0.25">
      <c r="A48" s="4" t="s">
        <v>162</v>
      </c>
      <c r="B48" s="14">
        <v>2291.2399999999998</v>
      </c>
      <c r="C48" s="14">
        <v>2207.39</v>
      </c>
    </row>
    <row r="49" spans="1:3" x14ac:dyDescent="0.25">
      <c r="A49" s="11" t="s">
        <v>161</v>
      </c>
      <c r="B49" s="15">
        <f>B46+B47+B48</f>
        <v>2291.2399999999998</v>
      </c>
      <c r="C49" s="15">
        <f>C46+C47+C48</f>
        <v>9646.85</v>
      </c>
    </row>
    <row r="50" spans="1:3" x14ac:dyDescent="0.25">
      <c r="A50" s="19" t="s">
        <v>160</v>
      </c>
      <c r="B50" s="20">
        <f>B45-B49</f>
        <v>538886.48</v>
      </c>
      <c r="C50" s="20">
        <f>C45-C49</f>
        <v>515067.46000000008</v>
      </c>
    </row>
    <row r="51" spans="1:3" x14ac:dyDescent="0.25">
      <c r="A51" s="3" t="s">
        <v>159</v>
      </c>
    </row>
    <row r="52" spans="1:3" x14ac:dyDescent="0.25">
      <c r="A52" s="4" t="s">
        <v>158</v>
      </c>
      <c r="B52" s="17"/>
      <c r="C52" s="17"/>
    </row>
    <row r="53" spans="1:3" x14ac:dyDescent="0.25">
      <c r="A53" s="5" t="s">
        <v>157</v>
      </c>
      <c r="B53" s="14">
        <v>156914.57</v>
      </c>
      <c r="C53" s="14">
        <v>179114.4</v>
      </c>
    </row>
    <row r="54" spans="1:3" x14ac:dyDescent="0.25">
      <c r="A54" s="5" t="s">
        <v>156</v>
      </c>
      <c r="B54" s="14">
        <v>13528.44</v>
      </c>
      <c r="C54" s="14">
        <v>15432.76</v>
      </c>
    </row>
    <row r="55" spans="1:3" x14ac:dyDescent="0.25">
      <c r="A55" s="5" t="s">
        <v>155</v>
      </c>
      <c r="B55" s="14">
        <v>4727.95</v>
      </c>
      <c r="C55" s="14">
        <v>4140</v>
      </c>
    </row>
    <row r="56" spans="1:3" x14ac:dyDescent="0.25">
      <c r="A56" s="5" t="s">
        <v>154</v>
      </c>
      <c r="B56" s="14">
        <v>101396.15</v>
      </c>
      <c r="C56" s="14">
        <v>88888.4</v>
      </c>
    </row>
    <row r="57" spans="1:3" x14ac:dyDescent="0.25">
      <c r="A57" s="10" t="s">
        <v>153</v>
      </c>
      <c r="B57" s="15">
        <f>B52+B53+B54+B55+B56</f>
        <v>276567.11</v>
      </c>
      <c r="C57" s="15">
        <f>C52+C53+C54+C55+C56</f>
        <v>287575.56</v>
      </c>
    </row>
    <row r="58" spans="1:3" x14ac:dyDescent="0.25">
      <c r="A58" s="4" t="s">
        <v>152</v>
      </c>
      <c r="B58" s="17"/>
      <c r="C58" s="17"/>
    </row>
    <row r="59" spans="1:3" x14ac:dyDescent="0.25">
      <c r="A59" s="5" t="s">
        <v>151</v>
      </c>
      <c r="B59" s="14">
        <v>27370</v>
      </c>
      <c r="C59" s="14">
        <v>16550</v>
      </c>
    </row>
    <row r="60" spans="1:3" x14ac:dyDescent="0.25">
      <c r="A60" s="5" t="s">
        <v>150</v>
      </c>
      <c r="B60" s="14">
        <v>9465</v>
      </c>
      <c r="C60" s="14">
        <v>1722.12</v>
      </c>
    </row>
    <row r="61" spans="1:3" x14ac:dyDescent="0.25">
      <c r="A61" s="5" t="s">
        <v>149</v>
      </c>
      <c r="B61" s="14">
        <v>4027.87</v>
      </c>
      <c r="C61" s="14">
        <v>6307.99</v>
      </c>
    </row>
    <row r="62" spans="1:3" x14ac:dyDescent="0.25">
      <c r="A62" s="5" t="s">
        <v>148</v>
      </c>
      <c r="B62" s="14">
        <v>2155.33</v>
      </c>
      <c r="C62" s="14">
        <v>1384.39</v>
      </c>
    </row>
    <row r="63" spans="1:3" x14ac:dyDescent="0.25">
      <c r="A63" s="10" t="s">
        <v>147</v>
      </c>
      <c r="B63" s="15">
        <f>B58+B59+B60+B61+B62</f>
        <v>43018.200000000004</v>
      </c>
      <c r="C63" s="15">
        <f>C58+C59+C60+C61+C62</f>
        <v>25964.5</v>
      </c>
    </row>
    <row r="64" spans="1:3" x14ac:dyDescent="0.25">
      <c r="A64" s="4" t="s">
        <v>146</v>
      </c>
      <c r="B64" s="14">
        <v>3375.45</v>
      </c>
      <c r="C64" s="14">
        <v>197</v>
      </c>
    </row>
    <row r="65" spans="1:3" x14ac:dyDescent="0.25">
      <c r="A65" s="4" t="s">
        <v>145</v>
      </c>
      <c r="B65" s="17"/>
      <c r="C65" s="17"/>
    </row>
    <row r="66" spans="1:3" x14ac:dyDescent="0.25">
      <c r="A66" s="5" t="s">
        <v>144</v>
      </c>
      <c r="B66" s="14">
        <v>780</v>
      </c>
      <c r="C66" s="14">
        <v>1200</v>
      </c>
    </row>
    <row r="67" spans="1:3" x14ac:dyDescent="0.25">
      <c r="A67" s="5" t="s">
        <v>143</v>
      </c>
      <c r="B67" s="14">
        <v>23424.03</v>
      </c>
      <c r="C67" s="17"/>
    </row>
    <row r="68" spans="1:3" x14ac:dyDescent="0.25">
      <c r="A68" s="6" t="s">
        <v>142</v>
      </c>
      <c r="B68" s="17"/>
      <c r="C68" s="14">
        <v>35828</v>
      </c>
    </row>
    <row r="69" spans="1:3" x14ac:dyDescent="0.25">
      <c r="A69" s="7" t="s">
        <v>141</v>
      </c>
      <c r="B69" s="15">
        <f>B67+B68</f>
        <v>23424.03</v>
      </c>
      <c r="C69" s="15">
        <f>C67+C68</f>
        <v>35828</v>
      </c>
    </row>
    <row r="70" spans="1:3" x14ac:dyDescent="0.25">
      <c r="A70" s="5" t="s">
        <v>140</v>
      </c>
      <c r="B70" s="14">
        <v>30038.14</v>
      </c>
      <c r="C70" s="17"/>
    </row>
    <row r="71" spans="1:3" x14ac:dyDescent="0.25">
      <c r="A71" s="6" t="s">
        <v>139</v>
      </c>
      <c r="B71" s="17"/>
      <c r="C71" s="14">
        <v>18332.59</v>
      </c>
    </row>
    <row r="72" spans="1:3" x14ac:dyDescent="0.25">
      <c r="A72" s="6" t="s">
        <v>138</v>
      </c>
      <c r="B72" s="17"/>
      <c r="C72" s="14">
        <v>10101.25</v>
      </c>
    </row>
    <row r="73" spans="1:3" x14ac:dyDescent="0.25">
      <c r="A73" s="6" t="s">
        <v>137</v>
      </c>
      <c r="B73" s="17"/>
      <c r="C73" s="14">
        <v>138.72</v>
      </c>
    </row>
    <row r="74" spans="1:3" x14ac:dyDescent="0.25">
      <c r="A74" s="7" t="s">
        <v>136</v>
      </c>
      <c r="B74" s="15">
        <f>B70+B71+B72+B73</f>
        <v>30038.14</v>
      </c>
      <c r="C74" s="15">
        <f>C70+C71+C72+C73</f>
        <v>28572.560000000001</v>
      </c>
    </row>
    <row r="75" spans="1:3" x14ac:dyDescent="0.25">
      <c r="A75" s="5" t="s">
        <v>135</v>
      </c>
      <c r="B75" s="14">
        <v>10804.91</v>
      </c>
      <c r="C75" s="14">
        <v>10267</v>
      </c>
    </row>
    <row r="76" spans="1:3" x14ac:dyDescent="0.25">
      <c r="A76" s="5" t="s">
        <v>134</v>
      </c>
      <c r="B76" s="14">
        <v>2431.96</v>
      </c>
      <c r="C76" s="17"/>
    </row>
    <row r="77" spans="1:3" x14ac:dyDescent="0.25">
      <c r="A77" s="6" t="s">
        <v>133</v>
      </c>
      <c r="B77" s="17"/>
      <c r="C77" s="14">
        <v>667.86</v>
      </c>
    </row>
    <row r="78" spans="1:3" x14ac:dyDescent="0.25">
      <c r="A78" s="6" t="s">
        <v>132</v>
      </c>
      <c r="B78" s="17"/>
      <c r="C78" s="14">
        <v>1052.58</v>
      </c>
    </row>
    <row r="79" spans="1:3" x14ac:dyDescent="0.25">
      <c r="A79" s="6" t="s">
        <v>131</v>
      </c>
      <c r="B79" s="17"/>
      <c r="C79" s="14">
        <v>0.8</v>
      </c>
    </row>
    <row r="80" spans="1:3" x14ac:dyDescent="0.25">
      <c r="A80" s="6" t="s">
        <v>130</v>
      </c>
      <c r="B80" s="17"/>
      <c r="C80" s="14">
        <v>618.78</v>
      </c>
    </row>
    <row r="81" spans="1:3" x14ac:dyDescent="0.25">
      <c r="A81" s="7" t="s">
        <v>129</v>
      </c>
      <c r="B81" s="15">
        <f>B76+B77+B78+B79+B80</f>
        <v>2431.96</v>
      </c>
      <c r="C81" s="15">
        <f>C76+C77+C78+C79+C80</f>
        <v>2340.02</v>
      </c>
    </row>
    <row r="82" spans="1:3" x14ac:dyDescent="0.25">
      <c r="A82" s="5" t="s">
        <v>128</v>
      </c>
      <c r="B82" s="14">
        <v>7728.87</v>
      </c>
      <c r="C82" s="17"/>
    </row>
    <row r="83" spans="1:3" x14ac:dyDescent="0.25">
      <c r="A83" s="6" t="s">
        <v>127</v>
      </c>
      <c r="B83" s="17"/>
      <c r="C83" s="14">
        <v>292.88</v>
      </c>
    </row>
    <row r="84" spans="1:3" x14ac:dyDescent="0.25">
      <c r="A84" s="6" t="s">
        <v>126</v>
      </c>
      <c r="B84" s="17"/>
      <c r="C84" s="14">
        <v>1228.76</v>
      </c>
    </row>
    <row r="85" spans="1:3" x14ac:dyDescent="0.25">
      <c r="A85" s="7" t="s">
        <v>125</v>
      </c>
      <c r="B85" s="15">
        <f>B82+B83+B84</f>
        <v>7728.87</v>
      </c>
      <c r="C85" s="15">
        <f>C82+C83+C84</f>
        <v>1521.6399999999999</v>
      </c>
    </row>
    <row r="86" spans="1:3" x14ac:dyDescent="0.25">
      <c r="A86" s="5" t="s">
        <v>124</v>
      </c>
      <c r="B86" s="14">
        <v>271.66000000000003</v>
      </c>
      <c r="C86" s="14">
        <v>267.57</v>
      </c>
    </row>
    <row r="87" spans="1:3" x14ac:dyDescent="0.25">
      <c r="A87" s="5" t="s">
        <v>123</v>
      </c>
      <c r="B87" s="14">
        <v>4053.9</v>
      </c>
      <c r="C87" s="14">
        <v>7481.42</v>
      </c>
    </row>
    <row r="88" spans="1:3" x14ac:dyDescent="0.25">
      <c r="A88" s="5" t="s">
        <v>122</v>
      </c>
      <c r="B88" s="14">
        <v>3914.64</v>
      </c>
      <c r="C88" s="14">
        <v>963.13</v>
      </c>
    </row>
    <row r="89" spans="1:3" x14ac:dyDescent="0.25">
      <c r="A89" s="5" t="s">
        <v>121</v>
      </c>
      <c r="B89" s="14">
        <v>3388.22</v>
      </c>
      <c r="C89" s="14">
        <v>72</v>
      </c>
    </row>
    <row r="90" spans="1:3" x14ac:dyDescent="0.25">
      <c r="A90" s="5" t="s">
        <v>120</v>
      </c>
      <c r="B90" s="14">
        <v>2.5</v>
      </c>
      <c r="C90" s="17"/>
    </row>
    <row r="91" spans="1:3" x14ac:dyDescent="0.25">
      <c r="A91" s="5" t="s">
        <v>119</v>
      </c>
      <c r="B91" s="14">
        <v>14580.86</v>
      </c>
      <c r="C91" s="17"/>
    </row>
    <row r="92" spans="1:3" x14ac:dyDescent="0.25">
      <c r="A92" s="5" t="s">
        <v>118</v>
      </c>
      <c r="B92" s="14">
        <v>3995.53</v>
      </c>
      <c r="C92" s="17"/>
    </row>
    <row r="93" spans="1:3" x14ac:dyDescent="0.25">
      <c r="A93" s="5" t="s">
        <v>117</v>
      </c>
      <c r="B93" s="14">
        <v>2500</v>
      </c>
      <c r="C93" s="17"/>
    </row>
    <row r="94" spans="1:3" x14ac:dyDescent="0.25">
      <c r="A94" s="10" t="s">
        <v>116</v>
      </c>
      <c r="B94" s="15">
        <f>B65+B66+B69+B74+B75+B81+B85+B86+B87+B88+B89+B90+B91+B92+B93</f>
        <v>107915.22</v>
      </c>
      <c r="C94" s="15">
        <f>C65+C66+C69+C74+C75+C81+C85+C86+C87+C88+C89+C90+C91+C92+C93</f>
        <v>88513.340000000011</v>
      </c>
    </row>
    <row r="95" spans="1:3" x14ac:dyDescent="0.25">
      <c r="A95" s="4" t="s">
        <v>115</v>
      </c>
      <c r="B95" s="17"/>
      <c r="C95" s="14">
        <v>257.75</v>
      </c>
    </row>
    <row r="96" spans="1:3" x14ac:dyDescent="0.25">
      <c r="A96" s="4" t="s">
        <v>114</v>
      </c>
      <c r="B96" s="17"/>
      <c r="C96" s="14">
        <v>632.42999999999995</v>
      </c>
    </row>
    <row r="97" spans="1:3" x14ac:dyDescent="0.25">
      <c r="A97" s="4" t="s">
        <v>113</v>
      </c>
      <c r="B97" s="17"/>
      <c r="C97" s="14">
        <v>293.52999999999997</v>
      </c>
    </row>
    <row r="98" spans="1:3" x14ac:dyDescent="0.25">
      <c r="A98" s="4" t="s">
        <v>112</v>
      </c>
      <c r="B98" s="17"/>
      <c r="C98" s="17"/>
    </row>
    <row r="99" spans="1:3" x14ac:dyDescent="0.25">
      <c r="A99" s="5" t="s">
        <v>111</v>
      </c>
      <c r="B99" s="17"/>
      <c r="C99" s="14">
        <v>178.23</v>
      </c>
    </row>
    <row r="100" spans="1:3" x14ac:dyDescent="0.25">
      <c r="A100" s="10" t="s">
        <v>110</v>
      </c>
      <c r="B100" s="15">
        <f>B98+B99</f>
        <v>0</v>
      </c>
      <c r="C100" s="15">
        <f>C98+C99</f>
        <v>178.23</v>
      </c>
    </row>
    <row r="101" spans="1:3" x14ac:dyDescent="0.25">
      <c r="A101" s="4" t="s">
        <v>109</v>
      </c>
      <c r="B101" s="17"/>
      <c r="C101" s="14">
        <v>597.51</v>
      </c>
    </row>
    <row r="102" spans="1:3" x14ac:dyDescent="0.25">
      <c r="A102" s="4" t="s">
        <v>108</v>
      </c>
      <c r="B102" s="17"/>
      <c r="C102" s="14">
        <v>537.38</v>
      </c>
    </row>
    <row r="103" spans="1:3" x14ac:dyDescent="0.25">
      <c r="A103" s="4" t="s">
        <v>107</v>
      </c>
      <c r="B103" s="17"/>
      <c r="C103" s="14">
        <v>114</v>
      </c>
    </row>
    <row r="104" spans="1:3" x14ac:dyDescent="0.25">
      <c r="A104" s="4" t="s">
        <v>106</v>
      </c>
      <c r="B104" s="17"/>
      <c r="C104" s="14">
        <v>-2922.26</v>
      </c>
    </row>
    <row r="105" spans="1:3" x14ac:dyDescent="0.25">
      <c r="A105" s="5" t="s">
        <v>105</v>
      </c>
      <c r="B105" s="17"/>
      <c r="C105" s="14">
        <v>49.36</v>
      </c>
    </row>
    <row r="106" spans="1:3" x14ac:dyDescent="0.25">
      <c r="A106" s="5" t="s">
        <v>104</v>
      </c>
      <c r="B106" s="17"/>
      <c r="C106" s="14">
        <v>1193.49</v>
      </c>
    </row>
    <row r="107" spans="1:3" x14ac:dyDescent="0.25">
      <c r="A107" s="10" t="s">
        <v>103</v>
      </c>
      <c r="B107" s="15">
        <f>B104+B105+B106</f>
        <v>0</v>
      </c>
      <c r="C107" s="15">
        <f>C104+C105+C106</f>
        <v>-1679.41</v>
      </c>
    </row>
    <row r="108" spans="1:3" x14ac:dyDescent="0.25">
      <c r="A108" s="4" t="s">
        <v>102</v>
      </c>
      <c r="B108" s="17"/>
      <c r="C108" s="17"/>
    </row>
    <row r="109" spans="1:3" x14ac:dyDescent="0.25">
      <c r="A109" s="5" t="s">
        <v>101</v>
      </c>
      <c r="B109" s="17"/>
      <c r="C109" s="14">
        <v>275.77</v>
      </c>
    </row>
    <row r="110" spans="1:3" x14ac:dyDescent="0.25">
      <c r="A110" s="10" t="s">
        <v>100</v>
      </c>
      <c r="B110" s="15">
        <f>B108+B109</f>
        <v>0</v>
      </c>
      <c r="C110" s="15">
        <f>C108+C109</f>
        <v>275.77</v>
      </c>
    </row>
    <row r="111" spans="1:3" x14ac:dyDescent="0.25">
      <c r="A111" s="4" t="s">
        <v>99</v>
      </c>
      <c r="B111" s="17"/>
      <c r="C111" s="14">
        <v>45</v>
      </c>
    </row>
    <row r="112" spans="1:3" x14ac:dyDescent="0.25">
      <c r="A112" s="4" t="s">
        <v>98</v>
      </c>
      <c r="B112" s="17"/>
      <c r="C112" s="14">
        <v>440.32</v>
      </c>
    </row>
    <row r="113" spans="1:3" x14ac:dyDescent="0.25">
      <c r="A113" s="4" t="s">
        <v>97</v>
      </c>
      <c r="B113" s="17"/>
      <c r="C113" s="14">
        <v>420</v>
      </c>
    </row>
    <row r="114" spans="1:3" x14ac:dyDescent="0.25">
      <c r="A114" s="5" t="s">
        <v>96</v>
      </c>
      <c r="B114" s="17"/>
      <c r="C114" s="14">
        <v>2256</v>
      </c>
    </row>
    <row r="115" spans="1:3" x14ac:dyDescent="0.25">
      <c r="A115" s="5" t="s">
        <v>95</v>
      </c>
      <c r="B115" s="17"/>
      <c r="C115" s="14">
        <v>2530.36</v>
      </c>
    </row>
    <row r="116" spans="1:3" x14ac:dyDescent="0.25">
      <c r="A116" s="10" t="s">
        <v>94</v>
      </c>
      <c r="B116" s="15">
        <f>B113+B114+B115</f>
        <v>0</v>
      </c>
      <c r="C116" s="15">
        <f>C113+C114+C115</f>
        <v>5206.3600000000006</v>
      </c>
    </row>
    <row r="117" spans="1:3" x14ac:dyDescent="0.25">
      <c r="A117" s="19" t="s">
        <v>93</v>
      </c>
      <c r="B117" s="20">
        <f>B51+B57+B63+B64+B94+B95+B96+B97+B100+B101+B102+B103+B107+B110+B111+B112+B116</f>
        <v>430875.98</v>
      </c>
      <c r="C117" s="20">
        <f>C51+C57+C63+C64+C94+C95+C96+C97+C100+C101+C102+C103+C107+C110+C111+C112+C116</f>
        <v>409149.27000000008</v>
      </c>
    </row>
    <row r="118" spans="1:3" x14ac:dyDescent="0.25">
      <c r="A118" s="11" t="s">
        <v>92</v>
      </c>
      <c r="B118" s="15">
        <f>B50-B117</f>
        <v>108010.5</v>
      </c>
      <c r="C118" s="15">
        <f>C50-C117</f>
        <v>105918.19</v>
      </c>
    </row>
    <row r="119" spans="1:3" x14ac:dyDescent="0.25">
      <c r="A119" s="19" t="s">
        <v>84</v>
      </c>
      <c r="B119" s="20">
        <f>B118+0</f>
        <v>108010.5</v>
      </c>
      <c r="C119" s="20">
        <f>C118+0</f>
        <v>105918.19</v>
      </c>
    </row>
    <row r="159" spans="1:3" x14ac:dyDescent="0.25">
      <c r="A159" s="45" t="s">
        <v>91</v>
      </c>
      <c r="B159" s="42"/>
      <c r="C159" s="42"/>
    </row>
  </sheetData>
  <mergeCells count="5">
    <mergeCell ref="A1:C1"/>
    <mergeCell ref="A2:C2"/>
    <mergeCell ref="A3:C3"/>
    <mergeCell ref="B5:C5"/>
    <mergeCell ref="A159:C159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FA56-063B-43D9-B92C-B639F8D2894F}">
  <dimension ref="A1:E72"/>
  <sheetViews>
    <sheetView topLeftCell="A54" workbookViewId="0">
      <selection activeCell="J68" sqref="J68"/>
    </sheetView>
  </sheetViews>
  <sheetFormatPr defaultColWidth="8.75" defaultRowHeight="15" x14ac:dyDescent="0.25"/>
  <cols>
    <col min="1" max="1" width="33.25" style="22" customWidth="1"/>
    <col min="2" max="5" width="17.75" style="22" customWidth="1"/>
    <col min="6" max="16384" width="8.75" style="22"/>
  </cols>
  <sheetData>
    <row r="1" spans="1:5" ht="18" x14ac:dyDescent="0.25">
      <c r="A1" s="51" t="s">
        <v>0</v>
      </c>
      <c r="B1" s="50"/>
      <c r="C1" s="50"/>
      <c r="D1" s="50"/>
      <c r="E1" s="50"/>
    </row>
    <row r="2" spans="1:5" ht="18" x14ac:dyDescent="0.25">
      <c r="A2" s="51" t="s">
        <v>269</v>
      </c>
      <c r="B2" s="50"/>
      <c r="C2" s="50"/>
      <c r="D2" s="50"/>
      <c r="E2" s="50"/>
    </row>
    <row r="3" spans="1:5" x14ac:dyDescent="0.25">
      <c r="A3" s="52" t="s">
        <v>268</v>
      </c>
      <c r="B3" s="50"/>
      <c r="C3" s="50"/>
      <c r="D3" s="50"/>
      <c r="E3" s="50"/>
    </row>
    <row r="5" spans="1:5" x14ac:dyDescent="0.25">
      <c r="A5" s="30"/>
      <c r="B5" s="47" t="s">
        <v>88</v>
      </c>
      <c r="C5" s="48"/>
      <c r="D5" s="48"/>
      <c r="E5" s="48"/>
    </row>
    <row r="6" spans="1:5" x14ac:dyDescent="0.25">
      <c r="A6" s="30"/>
      <c r="B6" s="29" t="s">
        <v>267</v>
      </c>
      <c r="C6" s="29" t="s">
        <v>270</v>
      </c>
      <c r="D6" s="29" t="s">
        <v>266</v>
      </c>
      <c r="E6" s="29" t="s">
        <v>265</v>
      </c>
    </row>
    <row r="7" spans="1:5" x14ac:dyDescent="0.25">
      <c r="A7" s="24" t="s">
        <v>203</v>
      </c>
      <c r="B7" s="23"/>
      <c r="C7" s="23"/>
      <c r="D7" s="23"/>
      <c r="E7" s="23"/>
    </row>
    <row r="8" spans="1:5" x14ac:dyDescent="0.25">
      <c r="A8" s="24" t="s">
        <v>264</v>
      </c>
      <c r="B8" s="23"/>
      <c r="C8" s="28">
        <f>22500</f>
        <v>22500</v>
      </c>
      <c r="D8" s="28">
        <f t="shared" ref="D8:D28" si="0">(B8)-(C8)</f>
        <v>-22500</v>
      </c>
      <c r="E8" s="27">
        <f t="shared" ref="E8:E28" si="1">IF(C8=0,"",(B8)/(C8))</f>
        <v>0</v>
      </c>
    </row>
    <row r="9" spans="1:5" x14ac:dyDescent="0.25">
      <c r="A9" s="24" t="s">
        <v>263</v>
      </c>
      <c r="B9" s="28">
        <f>2540</f>
        <v>2540</v>
      </c>
      <c r="C9" s="23"/>
      <c r="D9" s="28">
        <f t="shared" si="0"/>
        <v>2540</v>
      </c>
      <c r="E9" s="27" t="str">
        <f t="shared" si="1"/>
        <v/>
      </c>
    </row>
    <row r="10" spans="1:5" x14ac:dyDescent="0.25">
      <c r="A10" s="24" t="s">
        <v>262</v>
      </c>
      <c r="B10" s="28">
        <f>15</f>
        <v>15</v>
      </c>
      <c r="C10" s="23"/>
      <c r="D10" s="28">
        <f t="shared" si="0"/>
        <v>15</v>
      </c>
      <c r="E10" s="27" t="str">
        <f t="shared" si="1"/>
        <v/>
      </c>
    </row>
    <row r="11" spans="1:5" x14ac:dyDescent="0.25">
      <c r="A11" s="24" t="s">
        <v>261</v>
      </c>
      <c r="B11" s="28">
        <f>555</f>
        <v>555</v>
      </c>
      <c r="C11" s="23"/>
      <c r="D11" s="28">
        <f t="shared" si="0"/>
        <v>555</v>
      </c>
      <c r="E11" s="27" t="str">
        <f t="shared" si="1"/>
        <v/>
      </c>
    </row>
    <row r="12" spans="1:5" x14ac:dyDescent="0.25">
      <c r="A12" s="24" t="s">
        <v>260</v>
      </c>
      <c r="B12" s="26">
        <f>(((B8)+(B9))+(B10))+(B11)</f>
        <v>3110</v>
      </c>
      <c r="C12" s="26">
        <f>(((C8)+(C9))+(C10))+(C11)</f>
        <v>22500</v>
      </c>
      <c r="D12" s="26">
        <f t="shared" si="0"/>
        <v>-19390</v>
      </c>
      <c r="E12" s="25">
        <f t="shared" si="1"/>
        <v>0.13822222222222222</v>
      </c>
    </row>
    <row r="13" spans="1:5" x14ac:dyDescent="0.25">
      <c r="A13" s="24" t="s">
        <v>259</v>
      </c>
      <c r="B13" s="23"/>
      <c r="C13" s="23"/>
      <c r="D13" s="28">
        <f t="shared" si="0"/>
        <v>0</v>
      </c>
      <c r="E13" s="27" t="str">
        <f t="shared" si="1"/>
        <v/>
      </c>
    </row>
    <row r="14" spans="1:5" x14ac:dyDescent="0.25">
      <c r="A14" s="24" t="s">
        <v>258</v>
      </c>
      <c r="B14" s="28">
        <f>401250</f>
        <v>401250</v>
      </c>
      <c r="C14" s="28">
        <f>267499.98</f>
        <v>267499.98</v>
      </c>
      <c r="D14" s="28">
        <f t="shared" si="0"/>
        <v>133750.02000000002</v>
      </c>
      <c r="E14" s="27">
        <f t="shared" si="1"/>
        <v>1.5000001121495412</v>
      </c>
    </row>
    <row r="15" spans="1:5" x14ac:dyDescent="0.25">
      <c r="A15" s="24" t="s">
        <v>257</v>
      </c>
      <c r="B15" s="28">
        <f>13800</f>
        <v>13800</v>
      </c>
      <c r="C15" s="28">
        <f>12000</f>
        <v>12000</v>
      </c>
      <c r="D15" s="28">
        <f t="shared" si="0"/>
        <v>1800</v>
      </c>
      <c r="E15" s="27">
        <f t="shared" si="1"/>
        <v>1.1499999999999999</v>
      </c>
    </row>
    <row r="16" spans="1:5" x14ac:dyDescent="0.25">
      <c r="A16" s="24" t="s">
        <v>256</v>
      </c>
      <c r="B16" s="26">
        <f>((B13)+(B14))+(B15)</f>
        <v>415050</v>
      </c>
      <c r="C16" s="26">
        <f>((C13)+(C14))+(C15)</f>
        <v>279499.98</v>
      </c>
      <c r="D16" s="26">
        <f t="shared" si="0"/>
        <v>135550.02000000002</v>
      </c>
      <c r="E16" s="25">
        <f t="shared" si="1"/>
        <v>1.4849732726277836</v>
      </c>
    </row>
    <row r="17" spans="1:5" x14ac:dyDescent="0.25">
      <c r="A17" s="24" t="s">
        <v>255</v>
      </c>
      <c r="B17" s="23"/>
      <c r="C17" s="23"/>
      <c r="D17" s="28">
        <f t="shared" si="0"/>
        <v>0</v>
      </c>
      <c r="E17" s="27" t="str">
        <f t="shared" si="1"/>
        <v/>
      </c>
    </row>
    <row r="18" spans="1:5" x14ac:dyDescent="0.25">
      <c r="A18" s="24" t="s">
        <v>254</v>
      </c>
      <c r="B18" s="28">
        <f>19220</f>
        <v>19220</v>
      </c>
      <c r="C18" s="28">
        <f>20250</f>
        <v>20250</v>
      </c>
      <c r="D18" s="28">
        <f t="shared" si="0"/>
        <v>-1030</v>
      </c>
      <c r="E18" s="27">
        <f t="shared" si="1"/>
        <v>0.94913580246913576</v>
      </c>
    </row>
    <row r="19" spans="1:5" x14ac:dyDescent="0.25">
      <c r="A19" s="24" t="s">
        <v>253</v>
      </c>
      <c r="B19" s="28">
        <f>35381.03</f>
        <v>35381.03</v>
      </c>
      <c r="C19" s="28">
        <f>40999.98</f>
        <v>40999.980000000003</v>
      </c>
      <c r="D19" s="28">
        <f t="shared" si="0"/>
        <v>-5618.9500000000044</v>
      </c>
      <c r="E19" s="27">
        <f t="shared" si="1"/>
        <v>0.8629523721718888</v>
      </c>
    </row>
    <row r="20" spans="1:5" x14ac:dyDescent="0.25">
      <c r="A20" s="24" t="s">
        <v>252</v>
      </c>
      <c r="B20" s="28">
        <f>45250</f>
        <v>45250</v>
      </c>
      <c r="C20" s="28">
        <f>50250</f>
        <v>50250</v>
      </c>
      <c r="D20" s="28">
        <f t="shared" si="0"/>
        <v>-5000</v>
      </c>
      <c r="E20" s="27">
        <f t="shared" si="1"/>
        <v>0.90049751243781095</v>
      </c>
    </row>
    <row r="21" spans="1:5" x14ac:dyDescent="0.25">
      <c r="A21" s="24" t="s">
        <v>251</v>
      </c>
      <c r="B21" s="23"/>
      <c r="C21" s="28">
        <f>550.02</f>
        <v>550.02</v>
      </c>
      <c r="D21" s="28">
        <f t="shared" si="0"/>
        <v>-550.02</v>
      </c>
      <c r="E21" s="27">
        <f t="shared" si="1"/>
        <v>0</v>
      </c>
    </row>
    <row r="22" spans="1:5" x14ac:dyDescent="0.25">
      <c r="A22" s="24" t="s">
        <v>250</v>
      </c>
      <c r="B22" s="23"/>
      <c r="C22" s="28">
        <f>499.98</f>
        <v>499.98</v>
      </c>
      <c r="D22" s="28">
        <f t="shared" si="0"/>
        <v>-499.98</v>
      </c>
      <c r="E22" s="27">
        <f t="shared" si="1"/>
        <v>0</v>
      </c>
    </row>
    <row r="23" spans="1:5" x14ac:dyDescent="0.25">
      <c r="A23" s="24" t="s">
        <v>249</v>
      </c>
      <c r="B23" s="28">
        <f>295</f>
        <v>295</v>
      </c>
      <c r="C23" s="28">
        <f>499.98</f>
        <v>499.98</v>
      </c>
      <c r="D23" s="28">
        <f t="shared" si="0"/>
        <v>-204.98000000000002</v>
      </c>
      <c r="E23" s="27">
        <f t="shared" si="1"/>
        <v>0.59002360094403772</v>
      </c>
    </row>
    <row r="24" spans="1:5" x14ac:dyDescent="0.25">
      <c r="A24" s="24" t="s">
        <v>248</v>
      </c>
      <c r="B24" s="26">
        <f>((((((B17)+(B18))+(B19))+(B20))+(B21))+(B22))+(B23)</f>
        <v>100146.03</v>
      </c>
      <c r="C24" s="26">
        <f>((((((C17)+(C18))+(C19))+(C20))+(C21))+(C22))+(C23)</f>
        <v>113049.96</v>
      </c>
      <c r="D24" s="26">
        <f t="shared" si="0"/>
        <v>-12903.930000000008</v>
      </c>
      <c r="E24" s="25">
        <f t="shared" si="1"/>
        <v>0.88585639481871548</v>
      </c>
    </row>
    <row r="25" spans="1:5" x14ac:dyDescent="0.25">
      <c r="A25" s="24" t="s">
        <v>247</v>
      </c>
      <c r="B25" s="28">
        <f>509.29</f>
        <v>509.29</v>
      </c>
      <c r="C25" s="23"/>
      <c r="D25" s="28">
        <f t="shared" si="0"/>
        <v>509.29</v>
      </c>
      <c r="E25" s="27" t="str">
        <f t="shared" si="1"/>
        <v/>
      </c>
    </row>
    <row r="26" spans="1:5" x14ac:dyDescent="0.25">
      <c r="A26" s="24" t="s">
        <v>246</v>
      </c>
      <c r="B26" s="28">
        <f>2603.56</f>
        <v>2603.56</v>
      </c>
      <c r="C26" s="28">
        <f>1500</f>
        <v>1500</v>
      </c>
      <c r="D26" s="28">
        <f t="shared" si="0"/>
        <v>1103.56</v>
      </c>
      <c r="E26" s="27">
        <f t="shared" si="1"/>
        <v>1.7357066666666667</v>
      </c>
    </row>
    <row r="27" spans="1:5" x14ac:dyDescent="0.25">
      <c r="A27" s="24" t="s">
        <v>245</v>
      </c>
      <c r="B27" s="28">
        <f>19758.84</f>
        <v>19758.84</v>
      </c>
      <c r="C27" s="28">
        <f>25000.02</f>
        <v>25000.02</v>
      </c>
      <c r="D27" s="28">
        <f t="shared" si="0"/>
        <v>-5241.18</v>
      </c>
      <c r="E27" s="27">
        <f t="shared" si="1"/>
        <v>0.79035296771762586</v>
      </c>
    </row>
    <row r="28" spans="1:5" x14ac:dyDescent="0.25">
      <c r="A28" s="31" t="s">
        <v>244</v>
      </c>
      <c r="B28" s="32">
        <f>(((((B12)+(B16))+(B24))+(B25))+(B26))+(B27)</f>
        <v>541177.72</v>
      </c>
      <c r="C28" s="32">
        <f>(((((C12)+(C16))+(C24))+(C25))+(C26))+(C27)</f>
        <v>441549.96</v>
      </c>
      <c r="D28" s="32">
        <f t="shared" si="0"/>
        <v>99627.759999999951</v>
      </c>
      <c r="E28" s="33">
        <f t="shared" si="1"/>
        <v>1.2256319081084277</v>
      </c>
    </row>
    <row r="29" spans="1:5" x14ac:dyDescent="0.25">
      <c r="A29" s="24" t="s">
        <v>164</v>
      </c>
      <c r="B29" s="23"/>
      <c r="C29" s="23"/>
      <c r="D29" s="23"/>
      <c r="E29" s="23"/>
    </row>
    <row r="30" spans="1:5" x14ac:dyDescent="0.25">
      <c r="A30" s="24" t="s">
        <v>243</v>
      </c>
      <c r="B30" s="28">
        <f>2291.24</f>
        <v>2291.2399999999998</v>
      </c>
      <c r="C30" s="23"/>
      <c r="D30" s="28">
        <f>(B30)-(C30)</f>
        <v>2291.2399999999998</v>
      </c>
      <c r="E30" s="27" t="str">
        <f>IF(C30=0,"",(B30)/(C30))</f>
        <v/>
      </c>
    </row>
    <row r="31" spans="1:5" x14ac:dyDescent="0.25">
      <c r="A31" s="24" t="s">
        <v>242</v>
      </c>
      <c r="B31" s="26">
        <f>B30</f>
        <v>2291.2399999999998</v>
      </c>
      <c r="C31" s="26">
        <f>C30</f>
        <v>0</v>
      </c>
      <c r="D31" s="26">
        <f>(B31)-(C31)</f>
        <v>2291.2399999999998</v>
      </c>
      <c r="E31" s="25" t="str">
        <f>IF(C31=0,"",(B31)/(C31))</f>
        <v/>
      </c>
    </row>
    <row r="32" spans="1:5" x14ac:dyDescent="0.25">
      <c r="A32" s="24" t="s">
        <v>160</v>
      </c>
      <c r="B32" s="26">
        <f>(B28)-(B31)</f>
        <v>538886.48</v>
      </c>
      <c r="C32" s="26">
        <f>(C28)-(C31)</f>
        <v>441549.96</v>
      </c>
      <c r="D32" s="26">
        <f>(B32)-(C32)</f>
        <v>97336.51999999996</v>
      </c>
      <c r="E32" s="25">
        <f>IF(C32=0,"",(B32)/(C32))</f>
        <v>1.2204428237293916</v>
      </c>
    </row>
    <row r="33" spans="1:5" x14ac:dyDescent="0.25">
      <c r="A33" s="24" t="s">
        <v>159</v>
      </c>
      <c r="B33" s="23"/>
      <c r="C33" s="23"/>
      <c r="D33" s="23"/>
      <c r="E33" s="23"/>
    </row>
    <row r="34" spans="1:5" x14ac:dyDescent="0.25">
      <c r="A34" s="24" t="s">
        <v>241</v>
      </c>
      <c r="B34" s="23"/>
      <c r="C34" s="23"/>
      <c r="D34" s="28">
        <f t="shared" ref="D34:D68" si="2">(B34)-(C34)</f>
        <v>0</v>
      </c>
      <c r="E34" s="27" t="str">
        <f t="shared" ref="E34:E68" si="3">IF(C34=0,"",(B34)/(C34))</f>
        <v/>
      </c>
    </row>
    <row r="35" spans="1:5" x14ac:dyDescent="0.25">
      <c r="A35" s="24" t="s">
        <v>240</v>
      </c>
      <c r="B35" s="28">
        <f>156914.57</f>
        <v>156914.57</v>
      </c>
      <c r="C35" s="28">
        <f>174553.38</f>
        <v>174553.38</v>
      </c>
      <c r="D35" s="28">
        <f t="shared" si="2"/>
        <v>-17638.809999999998</v>
      </c>
      <c r="E35" s="27">
        <f t="shared" si="3"/>
        <v>0.89894890605956757</v>
      </c>
    </row>
    <row r="36" spans="1:5" x14ac:dyDescent="0.25">
      <c r="A36" s="24" t="s">
        <v>239</v>
      </c>
      <c r="B36" s="28">
        <f>13528.44</f>
        <v>13528.44</v>
      </c>
      <c r="C36" s="28">
        <f>15971.64</f>
        <v>15971.64</v>
      </c>
      <c r="D36" s="28">
        <f t="shared" si="2"/>
        <v>-2443.1999999999989</v>
      </c>
      <c r="E36" s="27">
        <f t="shared" si="3"/>
        <v>0.84702885865196065</v>
      </c>
    </row>
    <row r="37" spans="1:5" x14ac:dyDescent="0.25">
      <c r="A37" s="24" t="s">
        <v>238</v>
      </c>
      <c r="B37" s="28">
        <f>4727.95</f>
        <v>4727.95</v>
      </c>
      <c r="C37" s="28">
        <f>10343.28</f>
        <v>10343.280000000001</v>
      </c>
      <c r="D37" s="28">
        <f t="shared" si="2"/>
        <v>-5615.3300000000008</v>
      </c>
      <c r="E37" s="27">
        <f t="shared" si="3"/>
        <v>0.45710354935765052</v>
      </c>
    </row>
    <row r="38" spans="1:5" x14ac:dyDescent="0.25">
      <c r="A38" s="24" t="s">
        <v>237</v>
      </c>
      <c r="B38" s="28">
        <f>101396.15</f>
        <v>101396.15</v>
      </c>
      <c r="C38" s="28">
        <f>101080.08</f>
        <v>101080.08</v>
      </c>
      <c r="D38" s="28">
        <f t="shared" si="2"/>
        <v>316.06999999999243</v>
      </c>
      <c r="E38" s="27">
        <f t="shared" si="3"/>
        <v>1.0031269266902043</v>
      </c>
    </row>
    <row r="39" spans="1:5" x14ac:dyDescent="0.25">
      <c r="A39" s="24" t="s">
        <v>236</v>
      </c>
      <c r="B39" s="26">
        <f>((((B34)+(B35))+(B36))+(B37))+(B38)</f>
        <v>276567.11</v>
      </c>
      <c r="C39" s="26">
        <f>((((C34)+(C35))+(C36))+(C37))+(C38)</f>
        <v>301948.38</v>
      </c>
      <c r="D39" s="26">
        <f t="shared" si="2"/>
        <v>-25381.270000000019</v>
      </c>
      <c r="E39" s="25">
        <f t="shared" si="3"/>
        <v>0.91594169175539208</v>
      </c>
    </row>
    <row r="40" spans="1:5" x14ac:dyDescent="0.25">
      <c r="A40" s="24" t="s">
        <v>235</v>
      </c>
      <c r="B40" s="23"/>
      <c r="C40" s="23"/>
      <c r="D40" s="28">
        <f t="shared" si="2"/>
        <v>0</v>
      </c>
      <c r="E40" s="27" t="str">
        <f t="shared" si="3"/>
        <v/>
      </c>
    </row>
    <row r="41" spans="1:5" x14ac:dyDescent="0.25">
      <c r="A41" s="24" t="s">
        <v>234</v>
      </c>
      <c r="B41" s="28">
        <f>27370</f>
        <v>27370</v>
      </c>
      <c r="C41" s="28">
        <f>17920.02</f>
        <v>17920.02</v>
      </c>
      <c r="D41" s="28">
        <f t="shared" si="2"/>
        <v>9449.98</v>
      </c>
      <c r="E41" s="27">
        <f t="shared" si="3"/>
        <v>1.5273420453771815</v>
      </c>
    </row>
    <row r="42" spans="1:5" x14ac:dyDescent="0.25">
      <c r="A42" s="24" t="s">
        <v>233</v>
      </c>
      <c r="B42" s="28">
        <f>9465</f>
        <v>9465</v>
      </c>
      <c r="C42" s="23"/>
      <c r="D42" s="28">
        <f t="shared" si="2"/>
        <v>9465</v>
      </c>
      <c r="E42" s="27" t="str">
        <f t="shared" si="3"/>
        <v/>
      </c>
    </row>
    <row r="43" spans="1:5" x14ac:dyDescent="0.25">
      <c r="A43" s="24" t="s">
        <v>232</v>
      </c>
      <c r="B43" s="28">
        <f>4027.87</f>
        <v>4027.87</v>
      </c>
      <c r="C43" s="28">
        <f>7624.98</f>
        <v>7624.98</v>
      </c>
      <c r="D43" s="28">
        <f t="shared" si="2"/>
        <v>-3597.1099999999997</v>
      </c>
      <c r="E43" s="27">
        <f t="shared" si="3"/>
        <v>0.52824663146657436</v>
      </c>
    </row>
    <row r="44" spans="1:5" x14ac:dyDescent="0.25">
      <c r="A44" s="24" t="s">
        <v>231</v>
      </c>
      <c r="B44" s="28">
        <f>2155.33</f>
        <v>2155.33</v>
      </c>
      <c r="C44" s="28">
        <f>10750.02</f>
        <v>10750.02</v>
      </c>
      <c r="D44" s="28">
        <f t="shared" si="2"/>
        <v>-8594.69</v>
      </c>
      <c r="E44" s="27">
        <f t="shared" si="3"/>
        <v>0.20049544093871452</v>
      </c>
    </row>
    <row r="45" spans="1:5" x14ac:dyDescent="0.25">
      <c r="A45" s="24" t="s">
        <v>230</v>
      </c>
      <c r="B45" s="23"/>
      <c r="C45" s="28">
        <f>750</f>
        <v>750</v>
      </c>
      <c r="D45" s="28">
        <f t="shared" si="2"/>
        <v>-750</v>
      </c>
      <c r="E45" s="27">
        <f t="shared" si="3"/>
        <v>0</v>
      </c>
    </row>
    <row r="46" spans="1:5" x14ac:dyDescent="0.25">
      <c r="A46" s="24" t="s">
        <v>229</v>
      </c>
      <c r="B46" s="26">
        <f>(((((B40)+(B41))+(B42))+(B43))+(B44))+(B45)</f>
        <v>43018.200000000004</v>
      </c>
      <c r="C46" s="26">
        <f>(((((C40)+(C41))+(C42))+(C43))+(C44))+(C45)</f>
        <v>37045.020000000004</v>
      </c>
      <c r="D46" s="26">
        <f t="shared" si="2"/>
        <v>5973.18</v>
      </c>
      <c r="E46" s="25">
        <f t="shared" si="3"/>
        <v>1.1612411060919929</v>
      </c>
    </row>
    <row r="47" spans="1:5" x14ac:dyDescent="0.25">
      <c r="A47" s="24" t="s">
        <v>228</v>
      </c>
      <c r="B47" s="28">
        <f>3375.45</f>
        <v>3375.45</v>
      </c>
      <c r="C47" s="28">
        <f>8000.04</f>
        <v>8000.04</v>
      </c>
      <c r="D47" s="28">
        <f t="shared" si="2"/>
        <v>-4624.59</v>
      </c>
      <c r="E47" s="27">
        <f t="shared" si="3"/>
        <v>0.42192914035429818</v>
      </c>
    </row>
    <row r="48" spans="1:5" x14ac:dyDescent="0.25">
      <c r="A48" s="24" t="s">
        <v>227</v>
      </c>
      <c r="B48" s="23"/>
      <c r="C48" s="28">
        <f>1500</f>
        <v>1500</v>
      </c>
      <c r="D48" s="28">
        <f t="shared" si="2"/>
        <v>-1500</v>
      </c>
      <c r="E48" s="27">
        <f t="shared" si="3"/>
        <v>0</v>
      </c>
    </row>
    <row r="49" spans="1:5" x14ac:dyDescent="0.25">
      <c r="A49" s="24" t="s">
        <v>226</v>
      </c>
      <c r="B49" s="23"/>
      <c r="C49" s="28">
        <f>4.98</f>
        <v>4.9800000000000004</v>
      </c>
      <c r="D49" s="28">
        <f t="shared" si="2"/>
        <v>-4.9800000000000004</v>
      </c>
      <c r="E49" s="27">
        <f t="shared" si="3"/>
        <v>0</v>
      </c>
    </row>
    <row r="50" spans="1:5" x14ac:dyDescent="0.25">
      <c r="A50" s="24" t="s">
        <v>225</v>
      </c>
      <c r="B50" s="28">
        <f>780</f>
        <v>780</v>
      </c>
      <c r="C50" s="28">
        <f>600</f>
        <v>600</v>
      </c>
      <c r="D50" s="28">
        <f t="shared" si="2"/>
        <v>180</v>
      </c>
      <c r="E50" s="27">
        <f t="shared" si="3"/>
        <v>1.3</v>
      </c>
    </row>
    <row r="51" spans="1:5" x14ac:dyDescent="0.25">
      <c r="A51" s="24" t="s">
        <v>224</v>
      </c>
      <c r="B51" s="28">
        <f>23424.03</f>
        <v>23424.03</v>
      </c>
      <c r="C51" s="28">
        <f>14665.68</f>
        <v>14665.68</v>
      </c>
      <c r="D51" s="28">
        <f t="shared" si="2"/>
        <v>8758.3499999999985</v>
      </c>
      <c r="E51" s="27">
        <f t="shared" si="3"/>
        <v>1.5972004025725366</v>
      </c>
    </row>
    <row r="52" spans="1:5" x14ac:dyDescent="0.25">
      <c r="A52" s="24" t="s">
        <v>223</v>
      </c>
      <c r="B52" s="28">
        <f>30038.14</f>
        <v>30038.14</v>
      </c>
      <c r="C52" s="28">
        <f>26448.24</f>
        <v>26448.240000000002</v>
      </c>
      <c r="D52" s="28">
        <f t="shared" si="2"/>
        <v>3589.8999999999978</v>
      </c>
      <c r="E52" s="27">
        <f t="shared" si="3"/>
        <v>1.1357330393251119</v>
      </c>
    </row>
    <row r="53" spans="1:5" x14ac:dyDescent="0.25">
      <c r="A53" s="24" t="s">
        <v>222</v>
      </c>
      <c r="B53" s="28">
        <f>10804.91</f>
        <v>10804.91</v>
      </c>
      <c r="C53" s="28">
        <f>10800</f>
        <v>10800</v>
      </c>
      <c r="D53" s="28">
        <f t="shared" si="2"/>
        <v>4.9099999999998545</v>
      </c>
      <c r="E53" s="27">
        <f t="shared" si="3"/>
        <v>1.0004546296296297</v>
      </c>
    </row>
    <row r="54" spans="1:5" x14ac:dyDescent="0.25">
      <c r="A54" s="24" t="s">
        <v>221</v>
      </c>
      <c r="B54" s="28">
        <f>2431.96</f>
        <v>2431.96</v>
      </c>
      <c r="C54" s="28">
        <f>3392.76</f>
        <v>3392.76</v>
      </c>
      <c r="D54" s="28">
        <f t="shared" si="2"/>
        <v>-960.80000000000018</v>
      </c>
      <c r="E54" s="27">
        <f t="shared" si="3"/>
        <v>0.71680873389217037</v>
      </c>
    </row>
    <row r="55" spans="1:5" x14ac:dyDescent="0.25">
      <c r="A55" s="24" t="s">
        <v>220</v>
      </c>
      <c r="B55" s="28">
        <f>7728.87</f>
        <v>7728.87</v>
      </c>
      <c r="C55" s="28">
        <f>10999.98</f>
        <v>10999.98</v>
      </c>
      <c r="D55" s="28">
        <f t="shared" si="2"/>
        <v>-3271.1099999999997</v>
      </c>
      <c r="E55" s="27">
        <f t="shared" si="3"/>
        <v>0.7026258229560417</v>
      </c>
    </row>
    <row r="56" spans="1:5" x14ac:dyDescent="0.25">
      <c r="A56" s="24" t="s">
        <v>219</v>
      </c>
      <c r="B56" s="28">
        <f>271.66</f>
        <v>271.66000000000003</v>
      </c>
      <c r="C56" s="28">
        <f>450</f>
        <v>450</v>
      </c>
      <c r="D56" s="28">
        <f t="shared" si="2"/>
        <v>-178.33999999999997</v>
      </c>
      <c r="E56" s="27">
        <f t="shared" si="3"/>
        <v>0.60368888888888894</v>
      </c>
    </row>
    <row r="57" spans="1:5" x14ac:dyDescent="0.25">
      <c r="A57" s="24" t="s">
        <v>218</v>
      </c>
      <c r="B57" s="28">
        <f>4053.9</f>
        <v>4053.9</v>
      </c>
      <c r="C57" s="28">
        <f>7249.98</f>
        <v>7249.98</v>
      </c>
      <c r="D57" s="28">
        <f t="shared" si="2"/>
        <v>-3196.0799999999995</v>
      </c>
      <c r="E57" s="27">
        <f t="shared" si="3"/>
        <v>0.55916016320045026</v>
      </c>
    </row>
    <row r="58" spans="1:5" x14ac:dyDescent="0.25">
      <c r="A58" s="24" t="s">
        <v>217</v>
      </c>
      <c r="B58" s="28">
        <f>3914.64</f>
        <v>3914.64</v>
      </c>
      <c r="C58" s="28">
        <f>3250.02</f>
        <v>3250.02</v>
      </c>
      <c r="D58" s="28">
        <f t="shared" si="2"/>
        <v>664.61999999999989</v>
      </c>
      <c r="E58" s="27">
        <f t="shared" si="3"/>
        <v>1.2044972030941348</v>
      </c>
    </row>
    <row r="59" spans="1:5" x14ac:dyDescent="0.25">
      <c r="A59" s="24" t="s">
        <v>216</v>
      </c>
      <c r="B59" s="28">
        <f>3388.22</f>
        <v>3388.22</v>
      </c>
      <c r="C59" s="23"/>
      <c r="D59" s="28">
        <f t="shared" si="2"/>
        <v>3388.22</v>
      </c>
      <c r="E59" s="27" t="str">
        <f t="shared" si="3"/>
        <v/>
      </c>
    </row>
    <row r="60" spans="1:5" x14ac:dyDescent="0.25">
      <c r="A60" s="24" t="s">
        <v>215</v>
      </c>
      <c r="B60" s="28">
        <f>2.5</f>
        <v>2.5</v>
      </c>
      <c r="C60" s="23"/>
      <c r="D60" s="28">
        <f t="shared" si="2"/>
        <v>2.5</v>
      </c>
      <c r="E60" s="27" t="str">
        <f t="shared" si="3"/>
        <v/>
      </c>
    </row>
    <row r="61" spans="1:5" x14ac:dyDescent="0.25">
      <c r="A61" s="24" t="s">
        <v>214</v>
      </c>
      <c r="B61" s="23"/>
      <c r="C61" s="28">
        <f>3379.98</f>
        <v>3379.98</v>
      </c>
      <c r="D61" s="28">
        <f t="shared" si="2"/>
        <v>-3379.98</v>
      </c>
      <c r="E61" s="27">
        <f t="shared" si="3"/>
        <v>0</v>
      </c>
    </row>
    <row r="62" spans="1:5" x14ac:dyDescent="0.25">
      <c r="A62" s="24" t="s">
        <v>213</v>
      </c>
      <c r="B62" s="28">
        <f>14580.86</f>
        <v>14580.86</v>
      </c>
      <c r="C62" s="28">
        <f>7788.96</f>
        <v>7788.96</v>
      </c>
      <c r="D62" s="28">
        <f t="shared" si="2"/>
        <v>6791.9000000000005</v>
      </c>
      <c r="E62" s="27">
        <f t="shared" si="3"/>
        <v>1.8719906123538959</v>
      </c>
    </row>
    <row r="63" spans="1:5" x14ac:dyDescent="0.25">
      <c r="A63" s="24" t="s">
        <v>212</v>
      </c>
      <c r="B63" s="28">
        <f>3995.53</f>
        <v>3995.53</v>
      </c>
      <c r="C63" s="28">
        <f>1722.48</f>
        <v>1722.48</v>
      </c>
      <c r="D63" s="28">
        <f t="shared" si="2"/>
        <v>2273.0500000000002</v>
      </c>
      <c r="E63" s="27">
        <f t="shared" si="3"/>
        <v>2.3196379638660538</v>
      </c>
    </row>
    <row r="64" spans="1:5" x14ac:dyDescent="0.25">
      <c r="A64" s="24" t="s">
        <v>211</v>
      </c>
      <c r="B64" s="28">
        <f>2500</f>
        <v>2500</v>
      </c>
      <c r="C64" s="28">
        <f>1750.02</f>
        <v>1750.02</v>
      </c>
      <c r="D64" s="28">
        <f t="shared" si="2"/>
        <v>749.98</v>
      </c>
      <c r="E64" s="27">
        <f t="shared" si="3"/>
        <v>1.4285551022274032</v>
      </c>
    </row>
    <row r="65" spans="1:5" x14ac:dyDescent="0.25">
      <c r="A65" s="24" t="s">
        <v>210</v>
      </c>
      <c r="B65" s="26">
        <f>((((((((((((((((B48)+(B49))+(B50))+(B51))+(B52))+(B53))+(B54))+(B55))+(B56))+(B57))+(B58))+(B59))+(B60))+(B61))+(B62))+(B63))+(B64)</f>
        <v>107915.22</v>
      </c>
      <c r="C65" s="26">
        <f>((((((((((((((((C48)+(C49))+(C50))+(C51))+(C52))+(C53))+(C54))+(C55))+(C56))+(C57))+(C58))+(C59))+(C60))+(C61))+(C62))+(C63))+(C64)</f>
        <v>94003.08</v>
      </c>
      <c r="D65" s="26">
        <f t="shared" si="2"/>
        <v>13912.14</v>
      </c>
      <c r="E65" s="25">
        <f t="shared" si="3"/>
        <v>1.1479966401100901</v>
      </c>
    </row>
    <row r="66" spans="1:5" x14ac:dyDescent="0.25">
      <c r="A66" s="31" t="s">
        <v>209</v>
      </c>
      <c r="B66" s="32">
        <f>(((B39)+(B46))+(B47))+(B65)</f>
        <v>430875.98</v>
      </c>
      <c r="C66" s="32">
        <f>(((C39)+(C46))+(C47))+(C65)</f>
        <v>440996.52</v>
      </c>
      <c r="D66" s="32">
        <f t="shared" si="2"/>
        <v>-10120.540000000037</v>
      </c>
      <c r="E66" s="33">
        <f t="shared" si="3"/>
        <v>0.97705074860908192</v>
      </c>
    </row>
    <row r="67" spans="1:5" x14ac:dyDescent="0.25">
      <c r="A67" s="24" t="s">
        <v>92</v>
      </c>
      <c r="B67" s="26">
        <f>(B32)-(B66)</f>
        <v>108010.5</v>
      </c>
      <c r="C67" s="26">
        <f>(C32)-(C66)</f>
        <v>553.44000000000233</v>
      </c>
      <c r="D67" s="26">
        <f t="shared" si="2"/>
        <v>107457.06</v>
      </c>
      <c r="E67" s="25">
        <f t="shared" si="3"/>
        <v>195.16207718993846</v>
      </c>
    </row>
    <row r="68" spans="1:5" x14ac:dyDescent="0.25">
      <c r="A68" s="24" t="s">
        <v>84</v>
      </c>
      <c r="B68" s="26">
        <f>(B67)+(0)</f>
        <v>108010.5</v>
      </c>
      <c r="C68" s="26">
        <f>(C67)+(0)</f>
        <v>553.44000000000233</v>
      </c>
      <c r="D68" s="26">
        <f t="shared" si="2"/>
        <v>107457.06</v>
      </c>
      <c r="E68" s="25">
        <f t="shared" si="3"/>
        <v>195.16207718993846</v>
      </c>
    </row>
    <row r="69" spans="1:5" x14ac:dyDescent="0.25">
      <c r="A69" s="24"/>
      <c r="B69" s="23"/>
      <c r="C69" s="23"/>
      <c r="D69" s="23"/>
      <c r="E69" s="23"/>
    </row>
    <row r="72" spans="1:5" x14ac:dyDescent="0.25">
      <c r="A72" s="49" t="s">
        <v>208</v>
      </c>
      <c r="B72" s="50"/>
      <c r="C72" s="50"/>
      <c r="D72" s="50"/>
      <c r="E72" s="50"/>
    </row>
  </sheetData>
  <mergeCells count="5">
    <mergeCell ref="B5:E5"/>
    <mergeCell ref="A72:E72"/>
    <mergeCell ref="A1:E1"/>
    <mergeCell ref="A2:E2"/>
    <mergeCell ref="A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1258-9C53-40B3-9B13-2888CCBC9783}">
  <dimension ref="A1:Q66"/>
  <sheetViews>
    <sheetView tabSelected="1" workbookViewId="0">
      <selection sqref="A1:Q1"/>
    </sheetView>
  </sheetViews>
  <sheetFormatPr defaultColWidth="11.25" defaultRowHeight="15.75" x14ac:dyDescent="0.25"/>
  <cols>
    <col min="1" max="1" width="37.625" style="2" customWidth="1"/>
    <col min="2" max="2" width="17" style="2" customWidth="1"/>
    <col min="3" max="3" width="16.125" style="2" customWidth="1"/>
    <col min="4" max="4" width="10.125" style="2" customWidth="1"/>
    <col min="5" max="5" width="16.125" style="2" customWidth="1"/>
    <col min="6" max="6" width="15.25" style="2" customWidth="1"/>
    <col min="7" max="7" width="16.125" style="2" customWidth="1"/>
    <col min="8" max="8" width="17" style="2" customWidth="1"/>
    <col min="9" max="9" width="21.25" style="2" customWidth="1"/>
    <col min="10" max="10" width="17" style="2" customWidth="1"/>
    <col min="11" max="11" width="20.375" style="2" customWidth="1"/>
    <col min="12" max="12" width="26.375" style="2" customWidth="1"/>
    <col min="13" max="13" width="23" style="2" customWidth="1"/>
    <col min="14" max="14" width="15.25" style="2" customWidth="1"/>
    <col min="15" max="15" width="10.125" style="2" customWidth="1"/>
    <col min="16" max="16" width="18.625" style="2" customWidth="1"/>
    <col min="17" max="17" width="16.125" style="2" customWidth="1"/>
  </cols>
  <sheetData>
    <row r="1" spans="1:17" x14ac:dyDescent="0.2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x14ac:dyDescent="0.25">
      <c r="A2" s="43" t="s">
        <v>287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44" t="s">
        <v>206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5" spans="1:17" ht="24.75" x14ac:dyDescent="0.25">
      <c r="A5" s="1" t="s">
        <v>87</v>
      </c>
      <c r="B5" s="1" t="s">
        <v>286</v>
      </c>
      <c r="C5" s="1" t="s">
        <v>285</v>
      </c>
      <c r="D5" s="1" t="s">
        <v>284</v>
      </c>
      <c r="E5" s="1" t="s">
        <v>283</v>
      </c>
      <c r="F5" s="1" t="s">
        <v>282</v>
      </c>
      <c r="G5" s="1" t="s">
        <v>281</v>
      </c>
      <c r="H5" s="1" t="s">
        <v>280</v>
      </c>
      <c r="I5" s="1" t="s">
        <v>279</v>
      </c>
      <c r="J5" s="1" t="s">
        <v>278</v>
      </c>
      <c r="K5" s="1" t="s">
        <v>277</v>
      </c>
      <c r="L5" s="1" t="s">
        <v>276</v>
      </c>
      <c r="M5" s="1" t="s">
        <v>275</v>
      </c>
      <c r="N5" s="1" t="s">
        <v>274</v>
      </c>
      <c r="O5" s="1" t="s">
        <v>273</v>
      </c>
      <c r="P5" s="1" t="s">
        <v>272</v>
      </c>
      <c r="Q5" s="1" t="s">
        <v>88</v>
      </c>
    </row>
    <row r="6" spans="1:17" x14ac:dyDescent="0.25">
      <c r="A6" s="3" t="s">
        <v>203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7" x14ac:dyDescent="0.25">
      <c r="A7" s="4" t="s">
        <v>202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25">
      <c r="A8" s="5" t="s">
        <v>200</v>
      </c>
      <c r="B8" s="17"/>
      <c r="C8" s="36">
        <v>2540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6">
        <f>B8+C8+P8</f>
        <v>2540</v>
      </c>
    </row>
    <row r="9" spans="1:17" x14ac:dyDescent="0.25">
      <c r="A9" s="5" t="s">
        <v>199</v>
      </c>
      <c r="B9" s="17"/>
      <c r="C9" s="36">
        <v>15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36">
        <f>B9+C9+P9</f>
        <v>15</v>
      </c>
    </row>
    <row r="10" spans="1:17" x14ac:dyDescent="0.25">
      <c r="A10" s="5" t="s">
        <v>198</v>
      </c>
      <c r="B10" s="17"/>
      <c r="C10" s="36">
        <v>555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36">
        <f>B10+C10+P10</f>
        <v>555</v>
      </c>
    </row>
    <row r="11" spans="1:17" x14ac:dyDescent="0.25">
      <c r="A11" s="10" t="s">
        <v>197</v>
      </c>
      <c r="B11" s="34">
        <f t="shared" ref="B11:P11" si="0">B7+B8+B9+B10</f>
        <v>0</v>
      </c>
      <c r="C11" s="35">
        <f t="shared" si="0"/>
        <v>3110</v>
      </c>
      <c r="D11" s="34">
        <f t="shared" si="0"/>
        <v>0</v>
      </c>
      <c r="E11" s="34">
        <f t="shared" si="0"/>
        <v>0</v>
      </c>
      <c r="F11" s="34">
        <f t="shared" si="0"/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 t="shared" si="0"/>
        <v>0</v>
      </c>
      <c r="O11" s="34">
        <f t="shared" si="0"/>
        <v>0</v>
      </c>
      <c r="P11" s="34">
        <f t="shared" si="0"/>
        <v>0</v>
      </c>
      <c r="Q11" s="34">
        <f>B11+C11+P11</f>
        <v>3110</v>
      </c>
    </row>
    <row r="12" spans="1:17" x14ac:dyDescent="0.25">
      <c r="A12" s="4" t="s">
        <v>196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x14ac:dyDescent="0.25">
      <c r="A13" s="5" t="s">
        <v>194</v>
      </c>
      <c r="B13" s="17"/>
      <c r="C13" s="36">
        <v>401250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36">
        <f>B13+C13+P13</f>
        <v>401250</v>
      </c>
    </row>
    <row r="14" spans="1:17" x14ac:dyDescent="0.25">
      <c r="A14" s="5" t="s">
        <v>193</v>
      </c>
      <c r="B14" s="17"/>
      <c r="C14" s="17"/>
      <c r="D14" s="17"/>
      <c r="E14" s="17"/>
      <c r="F14" s="17"/>
      <c r="G14" s="17"/>
      <c r="H14" s="17"/>
      <c r="I14" s="17"/>
      <c r="J14" s="17"/>
      <c r="K14" s="36">
        <v>13800</v>
      </c>
      <c r="L14" s="17"/>
      <c r="M14" s="36">
        <f>L14+K14+J14</f>
        <v>13800</v>
      </c>
      <c r="N14" s="17"/>
      <c r="O14" s="17"/>
      <c r="P14" s="36">
        <f>O14+N14+M14+I14+F14+E14+D14</f>
        <v>13800</v>
      </c>
      <c r="Q14" s="36">
        <f>B14+C14+P14</f>
        <v>13800</v>
      </c>
    </row>
    <row r="15" spans="1:17" x14ac:dyDescent="0.25">
      <c r="A15" s="10" t="s">
        <v>192</v>
      </c>
      <c r="B15" s="34">
        <f t="shared" ref="B15:L15" si="1">B12+B13+B14</f>
        <v>0</v>
      </c>
      <c r="C15" s="35">
        <f t="shared" si="1"/>
        <v>401250</v>
      </c>
      <c r="D15" s="34">
        <f t="shared" si="1"/>
        <v>0</v>
      </c>
      <c r="E15" s="34">
        <f t="shared" si="1"/>
        <v>0</v>
      </c>
      <c r="F15" s="34">
        <f t="shared" si="1"/>
        <v>0</v>
      </c>
      <c r="G15" s="34">
        <f t="shared" si="1"/>
        <v>0</v>
      </c>
      <c r="H15" s="34">
        <f t="shared" si="1"/>
        <v>0</v>
      </c>
      <c r="I15" s="34">
        <f t="shared" si="1"/>
        <v>0</v>
      </c>
      <c r="J15" s="34">
        <f t="shared" si="1"/>
        <v>0</v>
      </c>
      <c r="K15" s="35">
        <f t="shared" si="1"/>
        <v>13800</v>
      </c>
      <c r="L15" s="34">
        <f t="shared" si="1"/>
        <v>0</v>
      </c>
      <c r="M15" s="35">
        <f>L15+K15+J15</f>
        <v>13800</v>
      </c>
      <c r="N15" s="34">
        <f>N12+N13+N14</f>
        <v>0</v>
      </c>
      <c r="O15" s="34">
        <f>O12+O13+O14</f>
        <v>0</v>
      </c>
      <c r="P15" s="35">
        <f>O15+N15+M15+I15+F15+E15+D15</f>
        <v>13800</v>
      </c>
      <c r="Q15" s="34">
        <f>B15+C15+P15</f>
        <v>415050</v>
      </c>
    </row>
    <row r="16" spans="1:17" x14ac:dyDescent="0.25">
      <c r="A16" s="4" t="s">
        <v>191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x14ac:dyDescent="0.25">
      <c r="A17" s="5" t="s">
        <v>190</v>
      </c>
      <c r="B17" s="17"/>
      <c r="C17" s="36">
        <v>19220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36">
        <f t="shared" ref="Q17:Q25" si="2">B17+C17+P17</f>
        <v>19220</v>
      </c>
    </row>
    <row r="18" spans="1:17" x14ac:dyDescent="0.25">
      <c r="A18" s="5" t="s">
        <v>189</v>
      </c>
      <c r="B18" s="17"/>
      <c r="C18" s="36">
        <v>35381.03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36">
        <f t="shared" si="2"/>
        <v>35381.03</v>
      </c>
    </row>
    <row r="19" spans="1:17" x14ac:dyDescent="0.25">
      <c r="A19" s="5" t="s">
        <v>188</v>
      </c>
      <c r="B19" s="17"/>
      <c r="C19" s="36">
        <v>45250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36">
        <f t="shared" si="2"/>
        <v>45250</v>
      </c>
    </row>
    <row r="20" spans="1:17" x14ac:dyDescent="0.25">
      <c r="A20" s="5" t="s">
        <v>185</v>
      </c>
      <c r="B20" s="17"/>
      <c r="C20" s="36">
        <v>295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36">
        <f t="shared" si="2"/>
        <v>295</v>
      </c>
    </row>
    <row r="21" spans="1:17" x14ac:dyDescent="0.25">
      <c r="A21" s="10" t="s">
        <v>184</v>
      </c>
      <c r="B21" s="34">
        <f t="shared" ref="B21:P21" si="3">B16+B17+B18+B19+B20</f>
        <v>0</v>
      </c>
      <c r="C21" s="35">
        <f t="shared" si="3"/>
        <v>100146.03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3"/>
        <v>0</v>
      </c>
      <c r="L21" s="34">
        <f t="shared" si="3"/>
        <v>0</v>
      </c>
      <c r="M21" s="34">
        <f t="shared" si="3"/>
        <v>0</v>
      </c>
      <c r="N21" s="34">
        <f t="shared" si="3"/>
        <v>0</v>
      </c>
      <c r="O21" s="34">
        <f t="shared" si="3"/>
        <v>0</v>
      </c>
      <c r="P21" s="34">
        <f t="shared" si="3"/>
        <v>0</v>
      </c>
      <c r="Q21" s="34">
        <f t="shared" si="2"/>
        <v>100146.03</v>
      </c>
    </row>
    <row r="22" spans="1:17" x14ac:dyDescent="0.25">
      <c r="A22" s="4" t="s">
        <v>183</v>
      </c>
      <c r="B22" s="17"/>
      <c r="C22" s="36">
        <v>509.29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6">
        <f t="shared" si="2"/>
        <v>509.29</v>
      </c>
    </row>
    <row r="23" spans="1:17" x14ac:dyDescent="0.25">
      <c r="A23" s="4" t="s">
        <v>182</v>
      </c>
      <c r="B23" s="36">
        <v>2603.56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36">
        <f t="shared" si="2"/>
        <v>2603.56</v>
      </c>
    </row>
    <row r="24" spans="1:17" x14ac:dyDescent="0.25">
      <c r="A24" s="4" t="s">
        <v>181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6">
        <v>19758.84</v>
      </c>
      <c r="O24" s="17"/>
      <c r="P24" s="36">
        <f>O24+N24+M24+I24+F24+E24+D24</f>
        <v>19758.84</v>
      </c>
      <c r="Q24" s="36">
        <f t="shared" si="2"/>
        <v>19758.84</v>
      </c>
    </row>
    <row r="25" spans="1:17" x14ac:dyDescent="0.25">
      <c r="A25" s="11" t="s">
        <v>165</v>
      </c>
      <c r="B25" s="35">
        <f t="shared" ref="B25:L25" si="4">B6+B11+B15+B21+B22+B23+B24</f>
        <v>2603.56</v>
      </c>
      <c r="C25" s="35">
        <f t="shared" si="4"/>
        <v>505015.32</v>
      </c>
      <c r="D25" s="34">
        <f t="shared" si="4"/>
        <v>0</v>
      </c>
      <c r="E25" s="34">
        <f t="shared" si="4"/>
        <v>0</v>
      </c>
      <c r="F25" s="34">
        <f t="shared" si="4"/>
        <v>0</v>
      </c>
      <c r="G25" s="34">
        <f t="shared" si="4"/>
        <v>0</v>
      </c>
      <c r="H25" s="34">
        <f t="shared" si="4"/>
        <v>0</v>
      </c>
      <c r="I25" s="34">
        <f t="shared" si="4"/>
        <v>0</v>
      </c>
      <c r="J25" s="34">
        <f t="shared" si="4"/>
        <v>0</v>
      </c>
      <c r="K25" s="35">
        <f t="shared" si="4"/>
        <v>13800</v>
      </c>
      <c r="L25" s="34">
        <f t="shared" si="4"/>
        <v>0</v>
      </c>
      <c r="M25" s="35">
        <f>L25+K25+J25</f>
        <v>13800</v>
      </c>
      <c r="N25" s="35">
        <f>N6+N11+N15+N21+N22+N23+N24</f>
        <v>19758.84</v>
      </c>
      <c r="O25" s="34">
        <f>O6+O11+O15+O21+O22+O23+O24</f>
        <v>0</v>
      </c>
      <c r="P25" s="35">
        <f>O25+N25+M25+I25+F25+E25+D25</f>
        <v>33558.839999999997</v>
      </c>
      <c r="Q25" s="34">
        <f t="shared" si="2"/>
        <v>541177.72</v>
      </c>
    </row>
    <row r="26" spans="1:17" x14ac:dyDescent="0.25">
      <c r="A26" s="3" t="s">
        <v>164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7" x14ac:dyDescent="0.25">
      <c r="A27" s="4" t="s">
        <v>162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36">
        <v>2291.2399999999998</v>
      </c>
      <c r="O27" s="17"/>
      <c r="P27" s="36">
        <f>O27+N27+M27+I27+F27+E27+D27</f>
        <v>2291.2399999999998</v>
      </c>
      <c r="Q27" s="36">
        <f>B27+C27+P27</f>
        <v>2291.2399999999998</v>
      </c>
    </row>
    <row r="28" spans="1:17" x14ac:dyDescent="0.25">
      <c r="A28" s="11" t="s">
        <v>161</v>
      </c>
      <c r="B28" s="34">
        <f t="shared" ref="B28:O28" si="5">B26+B27</f>
        <v>0</v>
      </c>
      <c r="C28" s="34">
        <f t="shared" si="5"/>
        <v>0</v>
      </c>
      <c r="D28" s="34">
        <f t="shared" si="5"/>
        <v>0</v>
      </c>
      <c r="E28" s="34">
        <f t="shared" si="5"/>
        <v>0</v>
      </c>
      <c r="F28" s="34">
        <f t="shared" si="5"/>
        <v>0</v>
      </c>
      <c r="G28" s="34">
        <f t="shared" si="5"/>
        <v>0</v>
      </c>
      <c r="H28" s="34">
        <f t="shared" si="5"/>
        <v>0</v>
      </c>
      <c r="I28" s="34">
        <f t="shared" si="5"/>
        <v>0</v>
      </c>
      <c r="J28" s="34">
        <f t="shared" si="5"/>
        <v>0</v>
      </c>
      <c r="K28" s="34">
        <f t="shared" si="5"/>
        <v>0</v>
      </c>
      <c r="L28" s="34">
        <f t="shared" si="5"/>
        <v>0</v>
      </c>
      <c r="M28" s="34">
        <f t="shared" si="5"/>
        <v>0</v>
      </c>
      <c r="N28" s="35">
        <f t="shared" si="5"/>
        <v>2291.2399999999998</v>
      </c>
      <c r="O28" s="34">
        <f t="shared" si="5"/>
        <v>0</v>
      </c>
      <c r="P28" s="35">
        <f>O28+N28+M28+I28+F28+E28+D28</f>
        <v>2291.2399999999998</v>
      </c>
      <c r="Q28" s="34">
        <f>B28+C28+P28</f>
        <v>2291.2399999999998</v>
      </c>
    </row>
    <row r="29" spans="1:17" x14ac:dyDescent="0.25">
      <c r="A29" s="11" t="s">
        <v>160</v>
      </c>
      <c r="B29" s="35">
        <f t="shared" ref="B29:L29" si="6">B25-B28</f>
        <v>2603.56</v>
      </c>
      <c r="C29" s="35">
        <f t="shared" si="6"/>
        <v>505015.32</v>
      </c>
      <c r="D29" s="34">
        <f t="shared" si="6"/>
        <v>0</v>
      </c>
      <c r="E29" s="34">
        <f t="shared" si="6"/>
        <v>0</v>
      </c>
      <c r="F29" s="34">
        <f t="shared" si="6"/>
        <v>0</v>
      </c>
      <c r="G29" s="34">
        <f t="shared" si="6"/>
        <v>0</v>
      </c>
      <c r="H29" s="34">
        <f t="shared" si="6"/>
        <v>0</v>
      </c>
      <c r="I29" s="34">
        <f t="shared" si="6"/>
        <v>0</v>
      </c>
      <c r="J29" s="34">
        <f t="shared" si="6"/>
        <v>0</v>
      </c>
      <c r="K29" s="35">
        <f t="shared" si="6"/>
        <v>13800</v>
      </c>
      <c r="L29" s="34">
        <f t="shared" si="6"/>
        <v>0</v>
      </c>
      <c r="M29" s="35">
        <f>L29+K29+J29</f>
        <v>13800</v>
      </c>
      <c r="N29" s="35">
        <f>N25-N28</f>
        <v>17467.599999999999</v>
      </c>
      <c r="O29" s="34">
        <f>O25-O28</f>
        <v>0</v>
      </c>
      <c r="P29" s="35">
        <f>O29+N29+M29+I29+F29+E29+D29</f>
        <v>31267.599999999999</v>
      </c>
      <c r="Q29" s="34">
        <f>B29+C29+P29</f>
        <v>538886.48</v>
      </c>
    </row>
    <row r="30" spans="1:17" x14ac:dyDescent="0.25">
      <c r="A30" s="3" t="s">
        <v>159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7" x14ac:dyDescent="0.25">
      <c r="A31" s="4" t="s">
        <v>158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x14ac:dyDescent="0.25">
      <c r="A32" s="5" t="s">
        <v>157</v>
      </c>
      <c r="B32" s="36">
        <v>38471.32</v>
      </c>
      <c r="C32" s="36">
        <v>9346.2000000000007</v>
      </c>
      <c r="D32" s="17"/>
      <c r="E32" s="36">
        <v>24771.68</v>
      </c>
      <c r="F32" s="36">
        <v>12330.22</v>
      </c>
      <c r="G32" s="36">
        <v>24187.82</v>
      </c>
      <c r="H32" s="17"/>
      <c r="I32" s="36">
        <f>H32+G32</f>
        <v>24187.82</v>
      </c>
      <c r="J32" s="36">
        <v>18119.939999999999</v>
      </c>
      <c r="K32" s="17"/>
      <c r="L32" s="17"/>
      <c r="M32" s="36">
        <f>L32+K32+J32</f>
        <v>18119.939999999999</v>
      </c>
      <c r="N32" s="36">
        <v>29687.39</v>
      </c>
      <c r="O32" s="17"/>
      <c r="P32" s="36">
        <f>O32+N32+M32+I32+F32+E32+D32</f>
        <v>109097.04999999999</v>
      </c>
      <c r="Q32" s="36">
        <f>B32+C32+P32</f>
        <v>156914.57</v>
      </c>
    </row>
    <row r="33" spans="1:17" x14ac:dyDescent="0.25">
      <c r="A33" s="5" t="s">
        <v>156</v>
      </c>
      <c r="B33" s="36">
        <v>3314.83</v>
      </c>
      <c r="C33" s="36">
        <v>807.01</v>
      </c>
      <c r="D33" s="17"/>
      <c r="E33" s="36">
        <v>2134.2600000000002</v>
      </c>
      <c r="F33" s="36">
        <v>1065.28</v>
      </c>
      <c r="G33" s="36">
        <v>2089.7600000000002</v>
      </c>
      <c r="H33" s="17"/>
      <c r="I33" s="36">
        <f>H33+G33</f>
        <v>2089.7600000000002</v>
      </c>
      <c r="J33" s="36">
        <v>1558.87</v>
      </c>
      <c r="K33" s="17"/>
      <c r="L33" s="17"/>
      <c r="M33" s="36">
        <f>L33+K33+J33</f>
        <v>1558.87</v>
      </c>
      <c r="N33" s="36">
        <v>2558.4299999999998</v>
      </c>
      <c r="O33" s="17"/>
      <c r="P33" s="36">
        <f>O33+N33+M33+I33+F33+E33+D33</f>
        <v>9406.5999999999985</v>
      </c>
      <c r="Q33" s="36">
        <f>B33+C33+P33</f>
        <v>13528.439999999999</v>
      </c>
    </row>
    <row r="34" spans="1:17" x14ac:dyDescent="0.25">
      <c r="A34" s="5" t="s">
        <v>155</v>
      </c>
      <c r="B34" s="36">
        <v>1561.04</v>
      </c>
      <c r="C34" s="36">
        <v>141.07</v>
      </c>
      <c r="D34" s="17"/>
      <c r="E34" s="36">
        <v>850.11</v>
      </c>
      <c r="F34" s="36">
        <v>124.11</v>
      </c>
      <c r="G34" s="36">
        <v>250.36</v>
      </c>
      <c r="H34" s="17"/>
      <c r="I34" s="36">
        <f>H34+G34</f>
        <v>250.36</v>
      </c>
      <c r="J34" s="36">
        <v>850.12</v>
      </c>
      <c r="K34" s="17"/>
      <c r="L34" s="17"/>
      <c r="M34" s="36">
        <f>L34+K34+J34</f>
        <v>850.12</v>
      </c>
      <c r="N34" s="36">
        <v>951.14</v>
      </c>
      <c r="O34" s="17"/>
      <c r="P34" s="36">
        <f>O34+N34+M34+I34+F34+E34+D34</f>
        <v>3025.84</v>
      </c>
      <c r="Q34" s="36">
        <f>B34+C34+P34</f>
        <v>4727.95</v>
      </c>
    </row>
    <row r="35" spans="1:17" x14ac:dyDescent="0.25">
      <c r="A35" s="5" t="s">
        <v>154</v>
      </c>
      <c r="B35" s="36">
        <v>45807.05</v>
      </c>
      <c r="C35" s="36">
        <v>1077.0899999999999</v>
      </c>
      <c r="D35" s="17"/>
      <c r="E35" s="36">
        <v>17279.740000000002</v>
      </c>
      <c r="F35" s="36">
        <v>7544.54</v>
      </c>
      <c r="G35" s="36">
        <v>6881.77</v>
      </c>
      <c r="H35" s="17"/>
      <c r="I35" s="36">
        <f>H35+G35</f>
        <v>6881.77</v>
      </c>
      <c r="J35" s="36">
        <v>9905.86</v>
      </c>
      <c r="K35" s="17"/>
      <c r="L35" s="17"/>
      <c r="M35" s="36">
        <f>L35+K35+J35</f>
        <v>9905.86</v>
      </c>
      <c r="N35" s="36">
        <v>12900.1</v>
      </c>
      <c r="O35" s="17"/>
      <c r="P35" s="36">
        <f>O35+N35+M35+I35+F35+E35+D35</f>
        <v>54512.009999999995</v>
      </c>
      <c r="Q35" s="36">
        <f>B35+C35+P35</f>
        <v>101396.15</v>
      </c>
    </row>
    <row r="36" spans="1:17" x14ac:dyDescent="0.25">
      <c r="A36" s="10" t="s">
        <v>153</v>
      </c>
      <c r="B36" s="35">
        <f t="shared" ref="B36:H36" si="7">B31+B32+B33+B34+B35</f>
        <v>89154.240000000005</v>
      </c>
      <c r="C36" s="35">
        <f t="shared" si="7"/>
        <v>11371.37</v>
      </c>
      <c r="D36" s="34">
        <f t="shared" si="7"/>
        <v>0</v>
      </c>
      <c r="E36" s="35">
        <f t="shared" si="7"/>
        <v>45035.790000000008</v>
      </c>
      <c r="F36" s="35">
        <f t="shared" si="7"/>
        <v>21064.15</v>
      </c>
      <c r="G36" s="35">
        <f t="shared" si="7"/>
        <v>33409.710000000006</v>
      </c>
      <c r="H36" s="34">
        <f t="shared" si="7"/>
        <v>0</v>
      </c>
      <c r="I36" s="35">
        <f>H36+G36</f>
        <v>33409.710000000006</v>
      </c>
      <c r="J36" s="35">
        <f>J31+J32+J33+J34+J35</f>
        <v>30434.789999999997</v>
      </c>
      <c r="K36" s="34">
        <f>K31+K32+K33+K34+K35</f>
        <v>0</v>
      </c>
      <c r="L36" s="34">
        <f>L31+L32+L33+L34+L35</f>
        <v>0</v>
      </c>
      <c r="M36" s="35">
        <f>L36+K36+J36</f>
        <v>30434.789999999997</v>
      </c>
      <c r="N36" s="35">
        <f>N31+N32+N33+N34+N35</f>
        <v>46097.06</v>
      </c>
      <c r="O36" s="34">
        <f>O31+O32+O33+O34+O35</f>
        <v>0</v>
      </c>
      <c r="P36" s="35">
        <f>O36+N36+M36+I36+F36+E36+D36</f>
        <v>176041.5</v>
      </c>
      <c r="Q36" s="34">
        <f>B36+C36+P36</f>
        <v>276567.11</v>
      </c>
    </row>
    <row r="37" spans="1:17" x14ac:dyDescent="0.25">
      <c r="A37" s="4" t="s">
        <v>152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5" t="s">
        <v>151</v>
      </c>
      <c r="B38" s="36">
        <v>27370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36">
        <f t="shared" ref="Q38:Q43" si="8">B38+C38+P38</f>
        <v>27370</v>
      </c>
    </row>
    <row r="39" spans="1:17" x14ac:dyDescent="0.25">
      <c r="A39" s="5" t="s">
        <v>150</v>
      </c>
      <c r="B39" s="17"/>
      <c r="C39" s="17"/>
      <c r="D39" s="17"/>
      <c r="E39" s="36">
        <v>500</v>
      </c>
      <c r="F39" s="36">
        <v>-400</v>
      </c>
      <c r="G39" s="17"/>
      <c r="H39" s="17"/>
      <c r="I39" s="17"/>
      <c r="J39" s="17"/>
      <c r="K39" s="17"/>
      <c r="L39" s="36">
        <v>9365</v>
      </c>
      <c r="M39" s="36">
        <f>L39+K39+J39</f>
        <v>9365</v>
      </c>
      <c r="N39" s="17"/>
      <c r="O39" s="17"/>
      <c r="P39" s="36">
        <f>O39+N39+M39+I39+F39+E39+D39</f>
        <v>9465</v>
      </c>
      <c r="Q39" s="36">
        <f t="shared" si="8"/>
        <v>9465</v>
      </c>
    </row>
    <row r="40" spans="1:17" x14ac:dyDescent="0.25">
      <c r="A40" s="5" t="s">
        <v>149</v>
      </c>
      <c r="B40" s="36">
        <v>4027.87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36">
        <f t="shared" si="8"/>
        <v>4027.87</v>
      </c>
    </row>
    <row r="41" spans="1:17" x14ac:dyDescent="0.25">
      <c r="A41" s="5" t="s">
        <v>148</v>
      </c>
      <c r="B41" s="17"/>
      <c r="C41" s="17"/>
      <c r="D41" s="17"/>
      <c r="E41" s="36">
        <v>25.98</v>
      </c>
      <c r="F41" s="36">
        <v>2069.35</v>
      </c>
      <c r="G41" s="17"/>
      <c r="H41" s="17"/>
      <c r="I41" s="17"/>
      <c r="J41" s="17"/>
      <c r="K41" s="17"/>
      <c r="L41" s="17"/>
      <c r="M41" s="17"/>
      <c r="N41" s="17"/>
      <c r="O41" s="36">
        <v>60</v>
      </c>
      <c r="P41" s="36">
        <f>O41+N41+M41+I41+F41+E41+D41</f>
        <v>2155.33</v>
      </c>
      <c r="Q41" s="36">
        <f t="shared" si="8"/>
        <v>2155.33</v>
      </c>
    </row>
    <row r="42" spans="1:17" x14ac:dyDescent="0.25">
      <c r="A42" s="10" t="s">
        <v>147</v>
      </c>
      <c r="B42" s="35">
        <f t="shared" ref="B42:L42" si="9">B37+B38+B39+B40+B41</f>
        <v>31397.87</v>
      </c>
      <c r="C42" s="34">
        <f t="shared" si="9"/>
        <v>0</v>
      </c>
      <c r="D42" s="34">
        <f t="shared" si="9"/>
        <v>0</v>
      </c>
      <c r="E42" s="35">
        <f t="shared" si="9"/>
        <v>525.98</v>
      </c>
      <c r="F42" s="35">
        <f t="shared" si="9"/>
        <v>1669.35</v>
      </c>
      <c r="G42" s="34">
        <f t="shared" si="9"/>
        <v>0</v>
      </c>
      <c r="H42" s="34">
        <f t="shared" si="9"/>
        <v>0</v>
      </c>
      <c r="I42" s="34">
        <f t="shared" si="9"/>
        <v>0</v>
      </c>
      <c r="J42" s="34">
        <f t="shared" si="9"/>
        <v>0</v>
      </c>
      <c r="K42" s="34">
        <f t="shared" si="9"/>
        <v>0</v>
      </c>
      <c r="L42" s="35">
        <f t="shared" si="9"/>
        <v>9365</v>
      </c>
      <c r="M42" s="35">
        <f>L42+K42+J42</f>
        <v>9365</v>
      </c>
      <c r="N42" s="34">
        <f>N37+N38+N39+N40+N41</f>
        <v>0</v>
      </c>
      <c r="O42" s="35">
        <f>O37+O38+O39+O40+O41</f>
        <v>60</v>
      </c>
      <c r="P42" s="35">
        <f>O42+N42+M42+I42+F42+E42+D42</f>
        <v>11620.33</v>
      </c>
      <c r="Q42" s="34">
        <f t="shared" si="8"/>
        <v>43018.2</v>
      </c>
    </row>
    <row r="43" spans="1:17" x14ac:dyDescent="0.25">
      <c r="A43" s="4" t="s">
        <v>146</v>
      </c>
      <c r="B43" s="17"/>
      <c r="C43" s="17"/>
      <c r="D43" s="17"/>
      <c r="E43" s="17"/>
      <c r="F43" s="36">
        <v>254</v>
      </c>
      <c r="G43" s="36">
        <v>1174.25</v>
      </c>
      <c r="H43" s="17"/>
      <c r="I43" s="36">
        <f>H43+G43</f>
        <v>1174.25</v>
      </c>
      <c r="J43" s="17"/>
      <c r="K43" s="17"/>
      <c r="L43" s="36">
        <v>1947.2</v>
      </c>
      <c r="M43" s="36">
        <f>L43+K43+J43</f>
        <v>1947.2</v>
      </c>
      <c r="N43" s="17"/>
      <c r="O43" s="17"/>
      <c r="P43" s="36">
        <f>O43+N43+M43+I43+F43+E43+D43</f>
        <v>3375.45</v>
      </c>
      <c r="Q43" s="36">
        <f t="shared" si="8"/>
        <v>3375.45</v>
      </c>
    </row>
    <row r="44" spans="1:17" x14ac:dyDescent="0.25">
      <c r="A44" s="4" t="s">
        <v>145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5" t="s">
        <v>144</v>
      </c>
      <c r="B45" s="36">
        <v>780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36">
        <f t="shared" ref="Q45:Q62" si="10">B45+C45+P45</f>
        <v>780</v>
      </c>
    </row>
    <row r="46" spans="1:17" x14ac:dyDescent="0.25">
      <c r="A46" s="5" t="s">
        <v>143</v>
      </c>
      <c r="B46" s="36">
        <v>23424.03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36">
        <f t="shared" si="10"/>
        <v>23424.03</v>
      </c>
    </row>
    <row r="47" spans="1:17" x14ac:dyDescent="0.25">
      <c r="A47" s="5" t="s">
        <v>140</v>
      </c>
      <c r="B47" s="36">
        <v>30038.14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36">
        <f t="shared" si="10"/>
        <v>30038.14</v>
      </c>
    </row>
    <row r="48" spans="1:17" x14ac:dyDescent="0.25">
      <c r="A48" s="5" t="s">
        <v>135</v>
      </c>
      <c r="B48" s="36">
        <v>10800</v>
      </c>
      <c r="C48" s="36">
        <v>4.91</v>
      </c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36">
        <f t="shared" si="10"/>
        <v>10804.91</v>
      </c>
    </row>
    <row r="49" spans="1:17" x14ac:dyDescent="0.25">
      <c r="A49" s="5" t="s">
        <v>134</v>
      </c>
      <c r="B49" s="36">
        <v>2431.96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36">
        <f t="shared" si="10"/>
        <v>2431.96</v>
      </c>
    </row>
    <row r="50" spans="1:17" x14ac:dyDescent="0.25">
      <c r="A50" s="5" t="s">
        <v>128</v>
      </c>
      <c r="B50" s="36">
        <v>5210.21</v>
      </c>
      <c r="C50" s="17"/>
      <c r="D50" s="17"/>
      <c r="E50" s="36">
        <v>292.95999999999998</v>
      </c>
      <c r="F50" s="36">
        <v>2073.9899999999998</v>
      </c>
      <c r="G50" s="17"/>
      <c r="H50" s="36">
        <v>104.85</v>
      </c>
      <c r="I50" s="36">
        <f>H50+G50</f>
        <v>104.85</v>
      </c>
      <c r="J50" s="17"/>
      <c r="K50" s="17"/>
      <c r="L50" s="17"/>
      <c r="M50" s="17"/>
      <c r="N50" s="17"/>
      <c r="O50" s="36">
        <v>46.86</v>
      </c>
      <c r="P50" s="36">
        <f>O50+N50+M50+I50+F50+E50+D50</f>
        <v>2518.66</v>
      </c>
      <c r="Q50" s="36">
        <f t="shared" si="10"/>
        <v>7728.87</v>
      </c>
    </row>
    <row r="51" spans="1:17" x14ac:dyDescent="0.25">
      <c r="A51" s="5" t="s">
        <v>124</v>
      </c>
      <c r="B51" s="36">
        <v>10.44</v>
      </c>
      <c r="C51" s="17"/>
      <c r="D51" s="17"/>
      <c r="E51" s="17"/>
      <c r="F51" s="36">
        <v>247.1</v>
      </c>
      <c r="G51" s="17"/>
      <c r="H51" s="17"/>
      <c r="I51" s="17"/>
      <c r="J51" s="36">
        <v>14.12</v>
      </c>
      <c r="K51" s="17"/>
      <c r="L51" s="17"/>
      <c r="M51" s="36">
        <f>L51+K51+J51</f>
        <v>14.12</v>
      </c>
      <c r="N51" s="17"/>
      <c r="O51" s="17"/>
      <c r="P51" s="36">
        <f>O51+N51+M51+I51+F51+E51+D51</f>
        <v>261.21999999999997</v>
      </c>
      <c r="Q51" s="36">
        <f t="shared" si="10"/>
        <v>271.65999999999997</v>
      </c>
    </row>
    <row r="52" spans="1:17" x14ac:dyDescent="0.25">
      <c r="A52" s="5" t="s">
        <v>123</v>
      </c>
      <c r="B52" s="36">
        <v>3040.15</v>
      </c>
      <c r="C52" s="17"/>
      <c r="D52" s="17"/>
      <c r="E52" s="17"/>
      <c r="F52" s="36">
        <v>464.9</v>
      </c>
      <c r="G52" s="17"/>
      <c r="H52" s="17"/>
      <c r="I52" s="17"/>
      <c r="J52" s="36">
        <v>188.85</v>
      </c>
      <c r="K52" s="17"/>
      <c r="L52" s="17"/>
      <c r="M52" s="36">
        <f>L52+K52+J52</f>
        <v>188.85</v>
      </c>
      <c r="N52" s="36">
        <v>360</v>
      </c>
      <c r="O52" s="17"/>
      <c r="P52" s="36">
        <f>O52+N52+M52+I52+F52+E52+D52</f>
        <v>1013.75</v>
      </c>
      <c r="Q52" s="36">
        <f t="shared" si="10"/>
        <v>4053.9</v>
      </c>
    </row>
    <row r="53" spans="1:17" x14ac:dyDescent="0.25">
      <c r="A53" s="5" t="s">
        <v>122</v>
      </c>
      <c r="B53" s="36">
        <v>1745.58</v>
      </c>
      <c r="C53" s="17"/>
      <c r="D53" s="17"/>
      <c r="E53" s="17"/>
      <c r="F53" s="36">
        <v>2169.06</v>
      </c>
      <c r="G53" s="17"/>
      <c r="H53" s="17"/>
      <c r="I53" s="17"/>
      <c r="J53" s="17"/>
      <c r="K53" s="17"/>
      <c r="L53" s="17"/>
      <c r="M53" s="17"/>
      <c r="N53" s="17"/>
      <c r="O53" s="17"/>
      <c r="P53" s="36">
        <f>O53+N53+M53+I53+F53+E53+D53</f>
        <v>2169.06</v>
      </c>
      <c r="Q53" s="36">
        <f t="shared" si="10"/>
        <v>3914.64</v>
      </c>
    </row>
    <row r="54" spans="1:17" x14ac:dyDescent="0.25">
      <c r="A54" s="5" t="s">
        <v>121</v>
      </c>
      <c r="B54" s="36">
        <v>1516.95</v>
      </c>
      <c r="C54" s="36">
        <v>1191.2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6">
        <v>680.07</v>
      </c>
      <c r="O54" s="17"/>
      <c r="P54" s="36">
        <f>O54+N54+M54+I54+F54+E54+D54</f>
        <v>680.07</v>
      </c>
      <c r="Q54" s="36">
        <f t="shared" si="10"/>
        <v>3388.2200000000003</v>
      </c>
    </row>
    <row r="55" spans="1:17" x14ac:dyDescent="0.25">
      <c r="A55" s="5" t="s">
        <v>120</v>
      </c>
      <c r="B55" s="36">
        <v>2.5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36">
        <f t="shared" si="10"/>
        <v>2.5</v>
      </c>
    </row>
    <row r="56" spans="1:17" x14ac:dyDescent="0.25">
      <c r="A56" s="5" t="s">
        <v>119</v>
      </c>
      <c r="B56" s="36">
        <v>95.14</v>
      </c>
      <c r="C56" s="17"/>
      <c r="D56" s="17"/>
      <c r="E56" s="36">
        <v>815.89</v>
      </c>
      <c r="F56" s="17"/>
      <c r="G56" s="36">
        <v>1491.67</v>
      </c>
      <c r="H56" s="36">
        <v>2721.7</v>
      </c>
      <c r="I56" s="36">
        <f>H56+G56</f>
        <v>4213.37</v>
      </c>
      <c r="J56" s="36">
        <v>1742.22</v>
      </c>
      <c r="K56" s="17"/>
      <c r="L56" s="36">
        <v>386.39</v>
      </c>
      <c r="M56" s="36">
        <f t="shared" ref="M56:M62" si="11">L56+K56+J56</f>
        <v>2128.61</v>
      </c>
      <c r="N56" s="36">
        <v>6605.46</v>
      </c>
      <c r="O56" s="36">
        <v>722.39</v>
      </c>
      <c r="P56" s="36">
        <f t="shared" ref="P56:P62" si="12">O56+N56+M56+I56+F56+E56+D56</f>
        <v>14485.720000000001</v>
      </c>
      <c r="Q56" s="36">
        <f t="shared" si="10"/>
        <v>14580.86</v>
      </c>
    </row>
    <row r="57" spans="1:17" x14ac:dyDescent="0.25">
      <c r="A57" s="5" t="s">
        <v>118</v>
      </c>
      <c r="B57" s="36">
        <v>2417.56</v>
      </c>
      <c r="C57" s="17"/>
      <c r="D57" s="17"/>
      <c r="E57" s="36">
        <v>32.979999999999997</v>
      </c>
      <c r="F57" s="36">
        <v>280</v>
      </c>
      <c r="G57" s="36">
        <v>19.989999999999998</v>
      </c>
      <c r="H57" s="17"/>
      <c r="I57" s="36">
        <f>H57+G57</f>
        <v>19.989999999999998</v>
      </c>
      <c r="J57" s="36">
        <v>1245</v>
      </c>
      <c r="K57" s="17"/>
      <c r="L57" s="17"/>
      <c r="M57" s="36">
        <f t="shared" si="11"/>
        <v>1245</v>
      </c>
      <c r="N57" s="17"/>
      <c r="O57" s="17"/>
      <c r="P57" s="36">
        <f t="shared" si="12"/>
        <v>1577.97</v>
      </c>
      <c r="Q57" s="36">
        <f t="shared" si="10"/>
        <v>3995.5299999999997</v>
      </c>
    </row>
    <row r="58" spans="1:17" x14ac:dyDescent="0.25">
      <c r="A58" s="5" t="s">
        <v>117</v>
      </c>
      <c r="B58" s="17"/>
      <c r="C58" s="17"/>
      <c r="D58" s="17"/>
      <c r="E58" s="17"/>
      <c r="F58" s="17"/>
      <c r="G58" s="17"/>
      <c r="H58" s="17"/>
      <c r="I58" s="17"/>
      <c r="J58" s="36">
        <v>2500</v>
      </c>
      <c r="K58" s="17"/>
      <c r="L58" s="17"/>
      <c r="M58" s="36">
        <f t="shared" si="11"/>
        <v>2500</v>
      </c>
      <c r="N58" s="17"/>
      <c r="O58" s="17"/>
      <c r="P58" s="36">
        <f t="shared" si="12"/>
        <v>2500</v>
      </c>
      <c r="Q58" s="36">
        <f t="shared" si="10"/>
        <v>2500</v>
      </c>
    </row>
    <row r="59" spans="1:17" x14ac:dyDescent="0.25">
      <c r="A59" s="10" t="s">
        <v>116</v>
      </c>
      <c r="B59" s="35">
        <f t="shared" ref="B59:H59" si="13">B44+B45+B46+B47+B48+B49+B50+B51+B52+B53+B54+B55+B56+B57+B58</f>
        <v>81512.66</v>
      </c>
      <c r="C59" s="35">
        <f t="shared" si="13"/>
        <v>1196.1100000000001</v>
      </c>
      <c r="D59" s="34">
        <f t="shared" si="13"/>
        <v>0</v>
      </c>
      <c r="E59" s="35">
        <f t="shared" si="13"/>
        <v>1141.83</v>
      </c>
      <c r="F59" s="35">
        <f t="shared" si="13"/>
        <v>5235.0499999999993</v>
      </c>
      <c r="G59" s="35">
        <f t="shared" si="13"/>
        <v>1511.66</v>
      </c>
      <c r="H59" s="35">
        <f t="shared" si="13"/>
        <v>2826.5499999999997</v>
      </c>
      <c r="I59" s="35">
        <f>H59+G59</f>
        <v>4338.21</v>
      </c>
      <c r="J59" s="35">
        <f>J44+J45+J46+J47+J48+J49+J50+J51+J52+J53+J54+J55+J56+J57+J58</f>
        <v>5690.1900000000005</v>
      </c>
      <c r="K59" s="34">
        <f>K44+K45+K46+K47+K48+K49+K50+K51+K52+K53+K54+K55+K56+K57+K58</f>
        <v>0</v>
      </c>
      <c r="L59" s="35">
        <f>L44+L45+L46+L47+L48+L49+L50+L51+L52+L53+L54+L55+L56+L57+L58</f>
        <v>386.39</v>
      </c>
      <c r="M59" s="35">
        <f t="shared" si="11"/>
        <v>6076.5800000000008</v>
      </c>
      <c r="N59" s="35">
        <f>N44+N45+N46+N47+N48+N49+N50+N51+N52+N53+N54+N55+N56+N57+N58</f>
        <v>7645.5300000000007</v>
      </c>
      <c r="O59" s="35">
        <f>O44+O45+O46+O47+O48+O49+O50+O51+O52+O53+O54+O55+O56+O57+O58</f>
        <v>769.25</v>
      </c>
      <c r="P59" s="35">
        <f t="shared" si="12"/>
        <v>25206.449999999997</v>
      </c>
      <c r="Q59" s="34">
        <f t="shared" si="10"/>
        <v>107915.22</v>
      </c>
    </row>
    <row r="60" spans="1:17" x14ac:dyDescent="0.25">
      <c r="A60" s="11" t="s">
        <v>93</v>
      </c>
      <c r="B60" s="35">
        <f t="shared" ref="B60:H60" si="14">B30+B36+B42+B43+B59</f>
        <v>202064.77000000002</v>
      </c>
      <c r="C60" s="35">
        <f t="shared" si="14"/>
        <v>12567.480000000001</v>
      </c>
      <c r="D60" s="34">
        <f t="shared" si="14"/>
        <v>0</v>
      </c>
      <c r="E60" s="35">
        <f t="shared" si="14"/>
        <v>46703.600000000013</v>
      </c>
      <c r="F60" s="35">
        <f t="shared" si="14"/>
        <v>28222.55</v>
      </c>
      <c r="G60" s="35">
        <f t="shared" si="14"/>
        <v>36095.62000000001</v>
      </c>
      <c r="H60" s="35">
        <f t="shared" si="14"/>
        <v>2826.5499999999997</v>
      </c>
      <c r="I60" s="35">
        <f>H60+G60</f>
        <v>38922.170000000013</v>
      </c>
      <c r="J60" s="35">
        <f>J30+J36+J42+J43+J59</f>
        <v>36124.979999999996</v>
      </c>
      <c r="K60" s="34">
        <f>K30+K36+K42+K43+K59</f>
        <v>0</v>
      </c>
      <c r="L60" s="35">
        <f>L30+L36+L42+L43+L59</f>
        <v>11698.59</v>
      </c>
      <c r="M60" s="35">
        <f t="shared" si="11"/>
        <v>47823.569999999992</v>
      </c>
      <c r="N60" s="35">
        <f>N30+N36+N42+N43+N59</f>
        <v>53742.59</v>
      </c>
      <c r="O60" s="35">
        <f>O30+O36+O42+O43+O59</f>
        <v>829.25</v>
      </c>
      <c r="P60" s="35">
        <f t="shared" si="12"/>
        <v>216243.73</v>
      </c>
      <c r="Q60" s="34">
        <f t="shared" si="10"/>
        <v>430875.98000000004</v>
      </c>
    </row>
    <row r="61" spans="1:17" x14ac:dyDescent="0.25">
      <c r="A61" s="11" t="s">
        <v>92</v>
      </c>
      <c r="B61" s="35">
        <f t="shared" ref="B61:H61" si="15">B29-B60</f>
        <v>-199461.21000000002</v>
      </c>
      <c r="C61" s="35">
        <f t="shared" si="15"/>
        <v>492447.84</v>
      </c>
      <c r="D61" s="35">
        <f t="shared" si="15"/>
        <v>0</v>
      </c>
      <c r="E61" s="35">
        <f t="shared" si="15"/>
        <v>-46703.600000000013</v>
      </c>
      <c r="F61" s="35">
        <f t="shared" si="15"/>
        <v>-28222.55</v>
      </c>
      <c r="G61" s="35">
        <f t="shared" si="15"/>
        <v>-36095.62000000001</v>
      </c>
      <c r="H61" s="35">
        <f t="shared" si="15"/>
        <v>-2826.5499999999997</v>
      </c>
      <c r="I61" s="35">
        <f>H61+G61</f>
        <v>-38922.170000000013</v>
      </c>
      <c r="J61" s="35">
        <f>J29-J60</f>
        <v>-36124.979999999996</v>
      </c>
      <c r="K61" s="35">
        <f>K29-K60</f>
        <v>13800</v>
      </c>
      <c r="L61" s="35">
        <f>L29-L60</f>
        <v>-11698.59</v>
      </c>
      <c r="M61" s="35">
        <f t="shared" si="11"/>
        <v>-34023.569999999992</v>
      </c>
      <c r="N61" s="35">
        <f>N29-N60</f>
        <v>-36274.99</v>
      </c>
      <c r="O61" s="35">
        <f>O29-O60</f>
        <v>-829.25</v>
      </c>
      <c r="P61" s="35">
        <f t="shared" si="12"/>
        <v>-184976.13</v>
      </c>
      <c r="Q61" s="34">
        <f t="shared" si="10"/>
        <v>108010.5</v>
      </c>
    </row>
    <row r="62" spans="1:17" x14ac:dyDescent="0.25">
      <c r="A62" s="11" t="s">
        <v>84</v>
      </c>
      <c r="B62" s="35">
        <f t="shared" ref="B62:H62" si="16">B61+0</f>
        <v>-199461.21000000002</v>
      </c>
      <c r="C62" s="35">
        <f t="shared" si="16"/>
        <v>492447.84</v>
      </c>
      <c r="D62" s="35">
        <f t="shared" si="16"/>
        <v>0</v>
      </c>
      <c r="E62" s="35">
        <f t="shared" si="16"/>
        <v>-46703.600000000013</v>
      </c>
      <c r="F62" s="35">
        <f t="shared" si="16"/>
        <v>-28222.55</v>
      </c>
      <c r="G62" s="35">
        <f t="shared" si="16"/>
        <v>-36095.62000000001</v>
      </c>
      <c r="H62" s="35">
        <f t="shared" si="16"/>
        <v>-2826.5499999999997</v>
      </c>
      <c r="I62" s="35">
        <f>H62+G62</f>
        <v>-38922.170000000013</v>
      </c>
      <c r="J62" s="35">
        <f>J61+0</f>
        <v>-36124.979999999996</v>
      </c>
      <c r="K62" s="35">
        <f>K61+0</f>
        <v>13800</v>
      </c>
      <c r="L62" s="35">
        <f>L61+0</f>
        <v>-11698.59</v>
      </c>
      <c r="M62" s="35">
        <f t="shared" si="11"/>
        <v>-34023.569999999992</v>
      </c>
      <c r="N62" s="35">
        <f>N61+0</f>
        <v>-36274.99</v>
      </c>
      <c r="O62" s="35">
        <f>O61+0</f>
        <v>-829.25</v>
      </c>
      <c r="P62" s="35">
        <f t="shared" si="12"/>
        <v>-184976.13</v>
      </c>
      <c r="Q62" s="34">
        <f t="shared" si="10"/>
        <v>108010.5</v>
      </c>
    </row>
    <row r="66" spans="1:17" x14ac:dyDescent="0.25">
      <c r="A66" s="45" t="s">
        <v>271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</sheetData>
  <mergeCells count="4">
    <mergeCell ref="A1:Q1"/>
    <mergeCell ref="A2:Q2"/>
    <mergeCell ref="A3:Q3"/>
    <mergeCell ref="A66:Q66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A5F2E-783F-4E8E-BF32-0284E6EACAB4}">
  <dimension ref="A1:J1021"/>
  <sheetViews>
    <sheetView topLeftCell="A158" workbookViewId="0">
      <selection sqref="A1:J1"/>
    </sheetView>
  </sheetViews>
  <sheetFormatPr defaultColWidth="8.75" defaultRowHeight="15" x14ac:dyDescent="0.25"/>
  <cols>
    <col min="1" max="1" width="38.75" style="22" customWidth="1"/>
    <col min="2" max="3" width="16.25" style="22" customWidth="1"/>
    <col min="4" max="4" width="17" style="22" customWidth="1"/>
    <col min="5" max="5" width="8.5" style="22" customWidth="1"/>
    <col min="6" max="6" width="27.125" style="22" customWidth="1"/>
    <col min="7" max="7" width="78.125" style="22" customWidth="1"/>
    <col min="8" max="8" width="43.25" style="22" customWidth="1"/>
    <col min="9" max="9" width="10.125" style="22" customWidth="1"/>
    <col min="10" max="10" width="8.5" style="22" customWidth="1"/>
    <col min="11" max="16384" width="8.75" style="22"/>
  </cols>
  <sheetData>
    <row r="1" spans="1:10" ht="18" x14ac:dyDescent="0.25">
      <c r="A1" s="51" t="s">
        <v>0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8" x14ac:dyDescent="0.25">
      <c r="A2" s="51" t="s">
        <v>849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x14ac:dyDescent="0.25">
      <c r="A3" s="52" t="s">
        <v>848</v>
      </c>
      <c r="B3" s="50"/>
      <c r="C3" s="50"/>
      <c r="D3" s="50"/>
      <c r="E3" s="50"/>
      <c r="F3" s="50"/>
      <c r="G3" s="50"/>
      <c r="H3" s="50"/>
      <c r="I3" s="50"/>
      <c r="J3" s="50"/>
    </row>
    <row r="5" spans="1:10" x14ac:dyDescent="0.25">
      <c r="B5" s="29" t="s">
        <v>847</v>
      </c>
      <c r="C5" s="29" t="s">
        <v>846</v>
      </c>
      <c r="D5" s="29" t="s">
        <v>845</v>
      </c>
      <c r="E5" s="29" t="s">
        <v>844</v>
      </c>
      <c r="F5" s="29" t="s">
        <v>843</v>
      </c>
      <c r="G5" s="29" t="s">
        <v>842</v>
      </c>
      <c r="H5" s="29" t="s">
        <v>841</v>
      </c>
      <c r="I5" s="29" t="s">
        <v>840</v>
      </c>
      <c r="J5" s="29" t="s">
        <v>839</v>
      </c>
    </row>
    <row r="6" spans="1:10" x14ac:dyDescent="0.25">
      <c r="A6" s="24" t="s">
        <v>6</v>
      </c>
    </row>
    <row r="7" spans="1:10" x14ac:dyDescent="0.25">
      <c r="B7" s="40" t="s">
        <v>474</v>
      </c>
      <c r="J7" s="38">
        <v>160165.53</v>
      </c>
    </row>
    <row r="8" spans="1:10" x14ac:dyDescent="0.25">
      <c r="B8" s="40" t="s">
        <v>298</v>
      </c>
      <c r="C8" s="40" t="s">
        <v>306</v>
      </c>
      <c r="D8" s="40"/>
      <c r="E8" s="40" t="s">
        <v>291</v>
      </c>
      <c r="F8" s="40" t="s">
        <v>424</v>
      </c>
      <c r="G8" s="40"/>
      <c r="H8" s="40" t="s">
        <v>672</v>
      </c>
      <c r="I8" s="38">
        <v>-142.84</v>
      </c>
      <c r="J8" s="38">
        <v>160022.69</v>
      </c>
    </row>
    <row r="9" spans="1:10" x14ac:dyDescent="0.25">
      <c r="B9" s="40" t="s">
        <v>318</v>
      </c>
      <c r="C9" s="40" t="s">
        <v>306</v>
      </c>
      <c r="D9" s="40"/>
      <c r="E9" s="40" t="s">
        <v>291</v>
      </c>
      <c r="F9" s="40" t="s">
        <v>422</v>
      </c>
      <c r="G9" s="40"/>
      <c r="H9" s="40" t="s">
        <v>672</v>
      </c>
      <c r="I9" s="38">
        <v>-54.95</v>
      </c>
      <c r="J9" s="38">
        <v>159967.74</v>
      </c>
    </row>
    <row r="10" spans="1:10" x14ac:dyDescent="0.25">
      <c r="A10" s="24" t="s">
        <v>838</v>
      </c>
      <c r="I10" s="37">
        <v>-197.79</v>
      </c>
    </row>
    <row r="11" spans="1:10" x14ac:dyDescent="0.25">
      <c r="A11" s="24" t="s">
        <v>7</v>
      </c>
    </row>
    <row r="12" spans="1:10" x14ac:dyDescent="0.25">
      <c r="B12" s="40" t="s">
        <v>474</v>
      </c>
      <c r="J12" s="38">
        <v>1210.43</v>
      </c>
    </row>
    <row r="13" spans="1:10" x14ac:dyDescent="0.25">
      <c r="A13" s="24" t="s">
        <v>837</v>
      </c>
      <c r="I13" s="37"/>
    </row>
    <row r="14" spans="1:10" x14ac:dyDescent="0.25">
      <c r="A14" s="24" t="s">
        <v>8</v>
      </c>
    </row>
    <row r="15" spans="1:10" x14ac:dyDescent="0.25">
      <c r="B15" s="40" t="s">
        <v>474</v>
      </c>
      <c r="J15" s="38">
        <v>42726.91</v>
      </c>
    </row>
    <row r="16" spans="1:10" x14ac:dyDescent="0.25">
      <c r="B16" s="40" t="s">
        <v>294</v>
      </c>
      <c r="C16" s="40" t="s">
        <v>359</v>
      </c>
      <c r="D16" s="40"/>
      <c r="E16" s="40" t="s">
        <v>291</v>
      </c>
      <c r="F16" s="40" t="s">
        <v>603</v>
      </c>
      <c r="G16" s="40" t="s">
        <v>602</v>
      </c>
      <c r="H16" s="40" t="s">
        <v>182</v>
      </c>
      <c r="I16" s="38">
        <v>13.87</v>
      </c>
      <c r="J16" s="38">
        <v>42740.78</v>
      </c>
    </row>
    <row r="17" spans="1:10" x14ac:dyDescent="0.25">
      <c r="A17" s="24" t="s">
        <v>836</v>
      </c>
      <c r="I17" s="37">
        <v>13.87</v>
      </c>
    </row>
    <row r="18" spans="1:10" x14ac:dyDescent="0.25">
      <c r="A18" s="24" t="s">
        <v>9</v>
      </c>
    </row>
    <row r="19" spans="1:10" x14ac:dyDescent="0.25">
      <c r="B19" s="40" t="s">
        <v>474</v>
      </c>
      <c r="J19" s="38">
        <v>225538.31</v>
      </c>
    </row>
    <row r="20" spans="1:10" x14ac:dyDescent="0.25">
      <c r="B20" s="40" t="s">
        <v>298</v>
      </c>
      <c r="C20" s="40" t="s">
        <v>359</v>
      </c>
      <c r="D20" s="40"/>
      <c r="E20" s="40" t="s">
        <v>291</v>
      </c>
      <c r="F20" s="40"/>
      <c r="G20" s="40" t="s">
        <v>428</v>
      </c>
      <c r="H20" s="39" t="s">
        <v>289</v>
      </c>
      <c r="I20" s="38">
        <v>215.49</v>
      </c>
      <c r="J20" s="38">
        <v>225753.8</v>
      </c>
    </row>
    <row r="21" spans="1:10" x14ac:dyDescent="0.25">
      <c r="B21" s="40" t="s">
        <v>298</v>
      </c>
      <c r="C21" s="40" t="s">
        <v>359</v>
      </c>
      <c r="D21" s="40"/>
      <c r="E21" s="40" t="s">
        <v>291</v>
      </c>
      <c r="F21" s="40"/>
      <c r="G21" s="40" t="s">
        <v>430</v>
      </c>
      <c r="H21" s="39" t="s">
        <v>289</v>
      </c>
      <c r="I21" s="38">
        <v>686.63</v>
      </c>
      <c r="J21" s="38">
        <v>226440.43</v>
      </c>
    </row>
    <row r="22" spans="1:10" x14ac:dyDescent="0.25">
      <c r="B22" s="40" t="s">
        <v>298</v>
      </c>
      <c r="C22" s="40" t="s">
        <v>359</v>
      </c>
      <c r="D22" s="40"/>
      <c r="E22" s="40" t="s">
        <v>291</v>
      </c>
      <c r="F22" s="40" t="s">
        <v>426</v>
      </c>
      <c r="G22" s="40" t="s">
        <v>427</v>
      </c>
      <c r="H22" s="39" t="s">
        <v>289</v>
      </c>
      <c r="I22" s="38">
        <v>222.15</v>
      </c>
      <c r="J22" s="38">
        <v>226662.58</v>
      </c>
    </row>
    <row r="23" spans="1:10" x14ac:dyDescent="0.25">
      <c r="B23" s="40" t="s">
        <v>298</v>
      </c>
      <c r="C23" s="40" t="s">
        <v>359</v>
      </c>
      <c r="D23" s="40"/>
      <c r="E23" s="40" t="s">
        <v>291</v>
      </c>
      <c r="F23" s="40"/>
      <c r="G23" s="40" t="s">
        <v>429</v>
      </c>
      <c r="H23" s="39" t="s">
        <v>289</v>
      </c>
      <c r="I23" s="38">
        <v>346.58</v>
      </c>
      <c r="J23" s="38">
        <v>227009.16</v>
      </c>
    </row>
    <row r="24" spans="1:10" x14ac:dyDescent="0.25">
      <c r="B24" s="40" t="s">
        <v>298</v>
      </c>
      <c r="C24" s="40" t="s">
        <v>359</v>
      </c>
      <c r="D24" s="40"/>
      <c r="E24" s="40" t="s">
        <v>291</v>
      </c>
      <c r="F24" s="40" t="s">
        <v>426</v>
      </c>
      <c r="G24" s="40" t="s">
        <v>425</v>
      </c>
      <c r="H24" s="39" t="s">
        <v>289</v>
      </c>
      <c r="I24" s="38">
        <v>369.22</v>
      </c>
      <c r="J24" s="38">
        <v>227378.38</v>
      </c>
    </row>
    <row r="25" spans="1:10" x14ac:dyDescent="0.25">
      <c r="B25" s="40" t="s">
        <v>298</v>
      </c>
      <c r="C25" s="40" t="s">
        <v>297</v>
      </c>
      <c r="D25" s="40">
        <v>2442</v>
      </c>
      <c r="E25" s="40" t="s">
        <v>291</v>
      </c>
      <c r="F25" s="40" t="s">
        <v>296</v>
      </c>
      <c r="G25" s="40"/>
      <c r="H25" s="40" t="s">
        <v>106</v>
      </c>
      <c r="I25" s="38">
        <v>400</v>
      </c>
      <c r="J25" s="38">
        <v>227778.38</v>
      </c>
    </row>
    <row r="26" spans="1:10" x14ac:dyDescent="0.25">
      <c r="B26" s="40" t="s">
        <v>298</v>
      </c>
      <c r="C26" s="40" t="s">
        <v>678</v>
      </c>
      <c r="D26" s="40" t="s">
        <v>802</v>
      </c>
      <c r="E26" s="40" t="s">
        <v>291</v>
      </c>
      <c r="F26" s="40" t="s">
        <v>396</v>
      </c>
      <c r="G26" s="40"/>
      <c r="H26" s="40" t="s">
        <v>47</v>
      </c>
      <c r="I26" s="38">
        <v>-64.48</v>
      </c>
      <c r="J26" s="38">
        <v>227713.9</v>
      </c>
    </row>
    <row r="27" spans="1:10" x14ac:dyDescent="0.25">
      <c r="B27" s="40" t="s">
        <v>298</v>
      </c>
      <c r="C27" s="40" t="s">
        <v>826</v>
      </c>
      <c r="D27" s="40">
        <v>1620</v>
      </c>
      <c r="E27" s="40" t="s">
        <v>291</v>
      </c>
      <c r="F27" s="40" t="s">
        <v>610</v>
      </c>
      <c r="G27" s="40"/>
      <c r="H27" s="40" t="s">
        <v>14</v>
      </c>
      <c r="I27" s="38">
        <v>1425</v>
      </c>
      <c r="J27" s="38">
        <v>229138.9</v>
      </c>
    </row>
    <row r="28" spans="1:10" x14ac:dyDescent="0.25">
      <c r="B28" s="40" t="s">
        <v>298</v>
      </c>
      <c r="C28" s="40" t="s">
        <v>306</v>
      </c>
      <c r="D28" s="40"/>
      <c r="E28" s="40" t="s">
        <v>291</v>
      </c>
      <c r="F28" s="40" t="s">
        <v>499</v>
      </c>
      <c r="G28" s="40" t="s">
        <v>498</v>
      </c>
      <c r="H28" s="40" t="s">
        <v>785</v>
      </c>
      <c r="I28" s="38">
        <v>-1720</v>
      </c>
      <c r="J28" s="38">
        <v>227418.9</v>
      </c>
    </row>
    <row r="29" spans="1:10" x14ac:dyDescent="0.25">
      <c r="B29" s="40" t="s">
        <v>298</v>
      </c>
      <c r="C29" s="40" t="s">
        <v>359</v>
      </c>
      <c r="D29" s="40"/>
      <c r="E29" s="40" t="s">
        <v>291</v>
      </c>
      <c r="F29" s="40"/>
      <c r="G29" s="40" t="s">
        <v>643</v>
      </c>
      <c r="H29" s="40" t="s">
        <v>831</v>
      </c>
      <c r="I29" s="38">
        <v>35</v>
      </c>
      <c r="J29" s="38">
        <v>227453.9</v>
      </c>
    </row>
    <row r="30" spans="1:10" ht="23.25" x14ac:dyDescent="0.25">
      <c r="B30" s="40" t="s">
        <v>298</v>
      </c>
      <c r="C30" s="40" t="s">
        <v>678</v>
      </c>
      <c r="D30" s="40" t="s">
        <v>798</v>
      </c>
      <c r="E30" s="40" t="s">
        <v>291</v>
      </c>
      <c r="F30" s="40" t="s">
        <v>797</v>
      </c>
      <c r="G30" s="40"/>
      <c r="H30" s="40" t="s">
        <v>47</v>
      </c>
      <c r="I30" s="38">
        <v>-19.420000000000002</v>
      </c>
      <c r="J30" s="38">
        <v>227434.48</v>
      </c>
    </row>
    <row r="31" spans="1:10" ht="23.25" x14ac:dyDescent="0.25">
      <c r="B31" s="40" t="s">
        <v>298</v>
      </c>
      <c r="C31" s="40" t="s">
        <v>678</v>
      </c>
      <c r="D31" s="40" t="s">
        <v>804</v>
      </c>
      <c r="E31" s="40" t="s">
        <v>291</v>
      </c>
      <c r="F31" s="40" t="s">
        <v>803</v>
      </c>
      <c r="G31" s="40"/>
      <c r="H31" s="40" t="s">
        <v>47</v>
      </c>
      <c r="I31" s="38">
        <v>-1000</v>
      </c>
      <c r="J31" s="38">
        <v>226434.48</v>
      </c>
    </row>
    <row r="32" spans="1:10" x14ac:dyDescent="0.25">
      <c r="B32" s="40" t="s">
        <v>318</v>
      </c>
      <c r="C32" s="40" t="s">
        <v>359</v>
      </c>
      <c r="D32" s="40"/>
      <c r="E32" s="40" t="s">
        <v>291</v>
      </c>
      <c r="F32" s="40"/>
      <c r="G32" s="40" t="s">
        <v>420</v>
      </c>
      <c r="H32" s="39" t="s">
        <v>289</v>
      </c>
      <c r="I32" s="38">
        <v>378.84</v>
      </c>
      <c r="J32" s="38">
        <v>226813.32</v>
      </c>
    </row>
    <row r="33" spans="2:10" x14ac:dyDescent="0.25">
      <c r="B33" s="40" t="s">
        <v>318</v>
      </c>
      <c r="C33" s="40" t="s">
        <v>306</v>
      </c>
      <c r="D33" s="40"/>
      <c r="E33" s="40" t="s">
        <v>291</v>
      </c>
      <c r="F33" s="40" t="s">
        <v>317</v>
      </c>
      <c r="G33" s="40" t="s">
        <v>316</v>
      </c>
      <c r="H33" s="40" t="s">
        <v>665</v>
      </c>
      <c r="I33" s="38">
        <v>-308</v>
      </c>
      <c r="J33" s="38">
        <v>226505.32</v>
      </c>
    </row>
    <row r="34" spans="2:10" x14ac:dyDescent="0.25">
      <c r="B34" s="40" t="s">
        <v>318</v>
      </c>
      <c r="C34" s="40" t="s">
        <v>359</v>
      </c>
      <c r="D34" s="40"/>
      <c r="E34" s="40" t="s">
        <v>291</v>
      </c>
      <c r="F34" s="40"/>
      <c r="G34" s="40" t="s">
        <v>421</v>
      </c>
      <c r="H34" s="39" t="s">
        <v>289</v>
      </c>
      <c r="I34" s="38">
        <v>38.74</v>
      </c>
      <c r="J34" s="38">
        <v>226544.06</v>
      </c>
    </row>
    <row r="35" spans="2:10" x14ac:dyDescent="0.25">
      <c r="B35" s="40" t="s">
        <v>418</v>
      </c>
      <c r="C35" s="40" t="s">
        <v>678</v>
      </c>
      <c r="D35" s="40" t="s">
        <v>767</v>
      </c>
      <c r="E35" s="40" t="s">
        <v>291</v>
      </c>
      <c r="F35" s="40" t="s">
        <v>566</v>
      </c>
      <c r="G35" s="40"/>
      <c r="H35" s="40" t="s">
        <v>47</v>
      </c>
      <c r="I35" s="38">
        <v>-3.25</v>
      </c>
      <c r="J35" s="38">
        <v>226540.81</v>
      </c>
    </row>
    <row r="36" spans="2:10" x14ac:dyDescent="0.25">
      <c r="B36" s="40" t="s">
        <v>418</v>
      </c>
      <c r="C36" s="40" t="s">
        <v>678</v>
      </c>
      <c r="D36" s="40" t="s">
        <v>775</v>
      </c>
      <c r="E36" s="40" t="s">
        <v>291</v>
      </c>
      <c r="F36" s="40" t="s">
        <v>595</v>
      </c>
      <c r="G36" s="40"/>
      <c r="H36" s="40" t="s">
        <v>47</v>
      </c>
      <c r="I36" s="38">
        <v>-42.25</v>
      </c>
      <c r="J36" s="38">
        <v>226498.56</v>
      </c>
    </row>
    <row r="37" spans="2:10" x14ac:dyDescent="0.25">
      <c r="B37" s="40" t="s">
        <v>418</v>
      </c>
      <c r="C37" s="40" t="s">
        <v>359</v>
      </c>
      <c r="D37" s="40"/>
      <c r="E37" s="40" t="s">
        <v>291</v>
      </c>
      <c r="F37" s="40"/>
      <c r="G37" s="40" t="s">
        <v>417</v>
      </c>
      <c r="H37" s="39" t="s">
        <v>289</v>
      </c>
      <c r="I37" s="38">
        <v>72.75</v>
      </c>
      <c r="J37" s="38">
        <v>226571.31</v>
      </c>
    </row>
    <row r="38" spans="2:10" x14ac:dyDescent="0.25">
      <c r="B38" s="40" t="s">
        <v>418</v>
      </c>
      <c r="C38" s="40" t="s">
        <v>359</v>
      </c>
      <c r="D38" s="40"/>
      <c r="E38" s="40" t="s">
        <v>291</v>
      </c>
      <c r="F38" s="40"/>
      <c r="G38" s="40" t="s">
        <v>419</v>
      </c>
      <c r="H38" s="39" t="s">
        <v>289</v>
      </c>
      <c r="I38" s="38">
        <v>169.75</v>
      </c>
      <c r="J38" s="38">
        <v>226741.06</v>
      </c>
    </row>
    <row r="39" spans="2:10" x14ac:dyDescent="0.25">
      <c r="B39" s="40" t="s">
        <v>418</v>
      </c>
      <c r="C39" s="40" t="s">
        <v>678</v>
      </c>
      <c r="D39" s="40" t="s">
        <v>770</v>
      </c>
      <c r="E39" s="40" t="s">
        <v>291</v>
      </c>
      <c r="F39" s="40" t="s">
        <v>554</v>
      </c>
      <c r="G39" s="40"/>
      <c r="H39" s="40" t="s">
        <v>47</v>
      </c>
      <c r="I39" s="38">
        <v>-7.8</v>
      </c>
      <c r="J39" s="38">
        <v>226733.26</v>
      </c>
    </row>
    <row r="40" spans="2:10" x14ac:dyDescent="0.25">
      <c r="B40" s="40" t="s">
        <v>418</v>
      </c>
      <c r="C40" s="40" t="s">
        <v>678</v>
      </c>
      <c r="D40" s="40" t="s">
        <v>769</v>
      </c>
      <c r="E40" s="40" t="s">
        <v>291</v>
      </c>
      <c r="F40" s="40" t="s">
        <v>542</v>
      </c>
      <c r="G40" s="40"/>
      <c r="H40" s="40" t="s">
        <v>47</v>
      </c>
      <c r="I40" s="38">
        <v>-37.700000000000003</v>
      </c>
      <c r="J40" s="38">
        <v>226695.56</v>
      </c>
    </row>
    <row r="41" spans="2:10" x14ac:dyDescent="0.25">
      <c r="B41" s="40" t="s">
        <v>418</v>
      </c>
      <c r="C41" s="40" t="s">
        <v>678</v>
      </c>
      <c r="D41" s="40" t="s">
        <v>771</v>
      </c>
      <c r="E41" s="40" t="s">
        <v>291</v>
      </c>
      <c r="F41" s="40" t="s">
        <v>566</v>
      </c>
      <c r="G41" s="40"/>
      <c r="H41" s="40" t="s">
        <v>47</v>
      </c>
      <c r="I41" s="38">
        <v>-6.5</v>
      </c>
      <c r="J41" s="38">
        <v>226689.06</v>
      </c>
    </row>
    <row r="42" spans="2:10" x14ac:dyDescent="0.25">
      <c r="B42" s="40" t="s">
        <v>418</v>
      </c>
      <c r="C42" s="40" t="s">
        <v>678</v>
      </c>
      <c r="D42" s="40" t="s">
        <v>774</v>
      </c>
      <c r="E42" s="40" t="s">
        <v>291</v>
      </c>
      <c r="F42" s="40" t="s">
        <v>566</v>
      </c>
      <c r="G42" s="40"/>
      <c r="H42" s="40" t="s">
        <v>47</v>
      </c>
      <c r="I42" s="38">
        <v>-22.75</v>
      </c>
      <c r="J42" s="38">
        <v>226666.31</v>
      </c>
    </row>
    <row r="43" spans="2:10" x14ac:dyDescent="0.25">
      <c r="B43" s="40" t="s">
        <v>418</v>
      </c>
      <c r="C43" s="40" t="s">
        <v>826</v>
      </c>
      <c r="D43" s="40">
        <v>1682</v>
      </c>
      <c r="E43" s="40" t="s">
        <v>291</v>
      </c>
      <c r="F43" s="40" t="s">
        <v>610</v>
      </c>
      <c r="G43" s="40"/>
      <c r="H43" s="40" t="s">
        <v>14</v>
      </c>
      <c r="I43" s="38">
        <v>6300</v>
      </c>
      <c r="J43" s="38">
        <v>232966.31</v>
      </c>
    </row>
    <row r="44" spans="2:10" x14ac:dyDescent="0.25">
      <c r="B44" s="40" t="s">
        <v>418</v>
      </c>
      <c r="C44" s="40" t="s">
        <v>678</v>
      </c>
      <c r="D44" s="40" t="s">
        <v>768</v>
      </c>
      <c r="E44" s="40" t="s">
        <v>291</v>
      </c>
      <c r="F44" s="40" t="s">
        <v>540</v>
      </c>
      <c r="G44" s="40"/>
      <c r="H44" s="40" t="s">
        <v>47</v>
      </c>
      <c r="I44" s="38">
        <v>-16.25</v>
      </c>
      <c r="J44" s="38">
        <v>232950.06</v>
      </c>
    </row>
    <row r="45" spans="2:10" x14ac:dyDescent="0.25">
      <c r="B45" s="40" t="s">
        <v>418</v>
      </c>
      <c r="C45" s="40" t="s">
        <v>678</v>
      </c>
      <c r="D45" s="40" t="s">
        <v>788</v>
      </c>
      <c r="E45" s="40" t="s">
        <v>291</v>
      </c>
      <c r="F45" s="40" t="s">
        <v>566</v>
      </c>
      <c r="G45" s="40"/>
      <c r="H45" s="40" t="s">
        <v>47</v>
      </c>
      <c r="I45" s="38">
        <v>-3.25</v>
      </c>
      <c r="J45" s="38">
        <v>232946.81</v>
      </c>
    </row>
    <row r="46" spans="2:10" ht="23.25" x14ac:dyDescent="0.25">
      <c r="B46" s="40" t="s">
        <v>418</v>
      </c>
      <c r="C46" s="40" t="s">
        <v>678</v>
      </c>
      <c r="D46" s="40" t="s">
        <v>776</v>
      </c>
      <c r="E46" s="40" t="s">
        <v>291</v>
      </c>
      <c r="F46" s="40" t="s">
        <v>562</v>
      </c>
      <c r="G46" s="40"/>
      <c r="H46" s="40" t="s">
        <v>47</v>
      </c>
      <c r="I46" s="38">
        <v>-3.22</v>
      </c>
      <c r="J46" s="38">
        <v>232943.59</v>
      </c>
    </row>
    <row r="47" spans="2:10" x14ac:dyDescent="0.25">
      <c r="B47" s="40" t="s">
        <v>415</v>
      </c>
      <c r="C47" s="40" t="s">
        <v>678</v>
      </c>
      <c r="D47" s="40" t="s">
        <v>755</v>
      </c>
      <c r="E47" s="40" t="s">
        <v>291</v>
      </c>
      <c r="F47" s="40" t="s">
        <v>458</v>
      </c>
      <c r="G47" s="40"/>
      <c r="H47" s="40" t="s">
        <v>47</v>
      </c>
      <c r="I47" s="38">
        <v>-1800</v>
      </c>
      <c r="J47" s="38">
        <v>231143.59</v>
      </c>
    </row>
    <row r="48" spans="2:10" x14ac:dyDescent="0.25">
      <c r="B48" s="40" t="s">
        <v>415</v>
      </c>
      <c r="C48" s="40" t="s">
        <v>359</v>
      </c>
      <c r="D48" s="40"/>
      <c r="E48" s="40" t="s">
        <v>291</v>
      </c>
      <c r="F48" s="40"/>
      <c r="G48" s="40" t="s">
        <v>416</v>
      </c>
      <c r="H48" s="39" t="s">
        <v>289</v>
      </c>
      <c r="I48" s="38">
        <v>135.51</v>
      </c>
      <c r="J48" s="38">
        <v>231279.1</v>
      </c>
    </row>
    <row r="49" spans="2:10" x14ac:dyDescent="0.25">
      <c r="B49" s="40" t="s">
        <v>415</v>
      </c>
      <c r="C49" s="40" t="s">
        <v>359</v>
      </c>
      <c r="D49" s="40"/>
      <c r="E49" s="40" t="s">
        <v>291</v>
      </c>
      <c r="F49" s="40"/>
      <c r="G49" s="40" t="s">
        <v>414</v>
      </c>
      <c r="H49" s="39" t="s">
        <v>289</v>
      </c>
      <c r="I49" s="38">
        <v>101.13</v>
      </c>
      <c r="J49" s="38">
        <v>231380.23</v>
      </c>
    </row>
    <row r="50" spans="2:10" ht="23.25" x14ac:dyDescent="0.25">
      <c r="B50" s="40" t="s">
        <v>415</v>
      </c>
      <c r="C50" s="40" t="s">
        <v>678</v>
      </c>
      <c r="D50" s="40" t="s">
        <v>758</v>
      </c>
      <c r="E50" s="40" t="s">
        <v>291</v>
      </c>
      <c r="F50" s="40" t="s">
        <v>543</v>
      </c>
      <c r="G50" s="40"/>
      <c r="H50" s="40" t="s">
        <v>47</v>
      </c>
      <c r="I50" s="38">
        <v>-3.25</v>
      </c>
      <c r="J50" s="38">
        <v>231376.98</v>
      </c>
    </row>
    <row r="51" spans="2:10" x14ac:dyDescent="0.25">
      <c r="B51" s="40" t="s">
        <v>415</v>
      </c>
      <c r="C51" s="40" t="s">
        <v>678</v>
      </c>
      <c r="D51" s="40" t="s">
        <v>764</v>
      </c>
      <c r="E51" s="40" t="s">
        <v>291</v>
      </c>
      <c r="F51" s="40" t="s">
        <v>570</v>
      </c>
      <c r="G51" s="40"/>
      <c r="H51" s="40" t="s">
        <v>47</v>
      </c>
      <c r="I51" s="38">
        <v>-9.75</v>
      </c>
      <c r="J51" s="38">
        <v>231367.23</v>
      </c>
    </row>
    <row r="52" spans="2:10" x14ac:dyDescent="0.25">
      <c r="B52" s="40" t="s">
        <v>415</v>
      </c>
      <c r="C52" s="40" t="s">
        <v>678</v>
      </c>
      <c r="D52" s="40" t="s">
        <v>757</v>
      </c>
      <c r="E52" s="40" t="s">
        <v>291</v>
      </c>
      <c r="F52" s="40" t="s">
        <v>554</v>
      </c>
      <c r="G52" s="40"/>
      <c r="H52" s="40" t="s">
        <v>47</v>
      </c>
      <c r="I52" s="38">
        <v>-18.2</v>
      </c>
      <c r="J52" s="38">
        <v>231349.03</v>
      </c>
    </row>
    <row r="53" spans="2:10" ht="23.25" x14ac:dyDescent="0.25">
      <c r="B53" s="40" t="s">
        <v>415</v>
      </c>
      <c r="C53" s="40" t="s">
        <v>678</v>
      </c>
      <c r="D53" s="40" t="s">
        <v>766</v>
      </c>
      <c r="E53" s="40" t="s">
        <v>291</v>
      </c>
      <c r="F53" s="40" t="s">
        <v>557</v>
      </c>
      <c r="G53" s="40"/>
      <c r="H53" s="40" t="s">
        <v>47</v>
      </c>
      <c r="I53" s="38">
        <v>-87.75</v>
      </c>
      <c r="J53" s="38">
        <v>231261.28</v>
      </c>
    </row>
    <row r="54" spans="2:10" ht="23.25" x14ac:dyDescent="0.25">
      <c r="B54" s="40" t="s">
        <v>415</v>
      </c>
      <c r="C54" s="40" t="s">
        <v>678</v>
      </c>
      <c r="D54" s="40" t="s">
        <v>759</v>
      </c>
      <c r="E54" s="40" t="s">
        <v>291</v>
      </c>
      <c r="F54" s="40" t="s">
        <v>558</v>
      </c>
      <c r="G54" s="40"/>
      <c r="H54" s="40" t="s">
        <v>47</v>
      </c>
      <c r="I54" s="38">
        <v>-94.25</v>
      </c>
      <c r="J54" s="38">
        <v>231167.03</v>
      </c>
    </row>
    <row r="55" spans="2:10" x14ac:dyDescent="0.25">
      <c r="B55" s="40" t="s">
        <v>415</v>
      </c>
      <c r="C55" s="40" t="s">
        <v>678</v>
      </c>
      <c r="D55" s="40" t="s">
        <v>760</v>
      </c>
      <c r="E55" s="40" t="s">
        <v>291</v>
      </c>
      <c r="F55" s="40" t="s">
        <v>540</v>
      </c>
      <c r="G55" s="40"/>
      <c r="H55" s="40" t="s">
        <v>47</v>
      </c>
      <c r="I55" s="38">
        <v>-113.75</v>
      </c>
      <c r="J55" s="38">
        <v>231053.28</v>
      </c>
    </row>
    <row r="56" spans="2:10" x14ac:dyDescent="0.25">
      <c r="B56" s="40" t="s">
        <v>415</v>
      </c>
      <c r="C56" s="40" t="s">
        <v>678</v>
      </c>
      <c r="D56" s="40" t="s">
        <v>765</v>
      </c>
      <c r="E56" s="40" t="s">
        <v>291</v>
      </c>
      <c r="F56" s="40" t="s">
        <v>537</v>
      </c>
      <c r="G56" s="40"/>
      <c r="H56" s="40" t="s">
        <v>47</v>
      </c>
      <c r="I56" s="38">
        <v>-9.75</v>
      </c>
      <c r="J56" s="38">
        <v>231043.53</v>
      </c>
    </row>
    <row r="57" spans="2:10" ht="23.25" x14ac:dyDescent="0.25">
      <c r="B57" s="40" t="s">
        <v>415</v>
      </c>
      <c r="C57" s="40" t="s">
        <v>678</v>
      </c>
      <c r="D57" s="40" t="s">
        <v>763</v>
      </c>
      <c r="E57" s="40" t="s">
        <v>291</v>
      </c>
      <c r="F57" s="40" t="s">
        <v>564</v>
      </c>
      <c r="G57" s="40"/>
      <c r="H57" s="40" t="s">
        <v>47</v>
      </c>
      <c r="I57" s="38">
        <v>-99.39</v>
      </c>
      <c r="J57" s="38">
        <v>230944.14</v>
      </c>
    </row>
    <row r="58" spans="2:10" ht="23.25" x14ac:dyDescent="0.25">
      <c r="B58" s="40" t="s">
        <v>415</v>
      </c>
      <c r="C58" s="40" t="s">
        <v>678</v>
      </c>
      <c r="D58" s="40" t="s">
        <v>762</v>
      </c>
      <c r="E58" s="40" t="s">
        <v>291</v>
      </c>
      <c r="F58" s="40" t="s">
        <v>544</v>
      </c>
      <c r="G58" s="40"/>
      <c r="H58" s="40" t="s">
        <v>47</v>
      </c>
      <c r="I58" s="38">
        <v>-26</v>
      </c>
      <c r="J58" s="38">
        <v>230918.14</v>
      </c>
    </row>
    <row r="59" spans="2:10" ht="23.25" x14ac:dyDescent="0.25">
      <c r="B59" s="40" t="s">
        <v>415</v>
      </c>
      <c r="C59" s="40" t="s">
        <v>678</v>
      </c>
      <c r="D59" s="40" t="s">
        <v>756</v>
      </c>
      <c r="E59" s="40" t="s">
        <v>291</v>
      </c>
      <c r="F59" s="40" t="s">
        <v>566</v>
      </c>
      <c r="G59" s="40"/>
      <c r="H59" s="40" t="s">
        <v>47</v>
      </c>
      <c r="I59" s="38">
        <v>-23.4</v>
      </c>
      <c r="J59" s="38">
        <v>230894.74</v>
      </c>
    </row>
    <row r="60" spans="2:10" ht="23.25" x14ac:dyDescent="0.25">
      <c r="B60" s="40" t="s">
        <v>415</v>
      </c>
      <c r="C60" s="40" t="s">
        <v>678</v>
      </c>
      <c r="D60" s="40" t="s">
        <v>761</v>
      </c>
      <c r="E60" s="40" t="s">
        <v>291</v>
      </c>
      <c r="F60" s="40" t="s">
        <v>542</v>
      </c>
      <c r="G60" s="40"/>
      <c r="H60" s="40" t="s">
        <v>47</v>
      </c>
      <c r="I60" s="38">
        <v>-71.5</v>
      </c>
      <c r="J60" s="38">
        <v>230823.24</v>
      </c>
    </row>
    <row r="61" spans="2:10" x14ac:dyDescent="0.25">
      <c r="B61" s="40" t="s">
        <v>412</v>
      </c>
      <c r="C61" s="40" t="s">
        <v>359</v>
      </c>
      <c r="D61" s="40"/>
      <c r="E61" s="40" t="s">
        <v>291</v>
      </c>
      <c r="F61" s="40"/>
      <c r="G61" s="40" t="s">
        <v>411</v>
      </c>
      <c r="H61" s="39" t="s">
        <v>289</v>
      </c>
      <c r="I61" s="38">
        <v>151.4</v>
      </c>
      <c r="J61" s="38">
        <v>230974.64</v>
      </c>
    </row>
    <row r="62" spans="2:10" x14ac:dyDescent="0.25">
      <c r="B62" s="40" t="s">
        <v>412</v>
      </c>
      <c r="C62" s="40" t="s">
        <v>359</v>
      </c>
      <c r="D62" s="40"/>
      <c r="E62" s="40" t="s">
        <v>291</v>
      </c>
      <c r="F62" s="40"/>
      <c r="G62" s="40" t="s">
        <v>616</v>
      </c>
      <c r="H62" s="40" t="s">
        <v>835</v>
      </c>
      <c r="I62" s="38">
        <v>871</v>
      </c>
      <c r="J62" s="38">
        <v>231845.64</v>
      </c>
    </row>
    <row r="63" spans="2:10" x14ac:dyDescent="0.25">
      <c r="B63" s="40" t="s">
        <v>412</v>
      </c>
      <c r="C63" s="40" t="s">
        <v>678</v>
      </c>
      <c r="D63" s="40" t="s">
        <v>754</v>
      </c>
      <c r="E63" s="40" t="s">
        <v>291</v>
      </c>
      <c r="F63" s="40" t="s">
        <v>497</v>
      </c>
      <c r="G63" s="40"/>
      <c r="H63" s="40" t="s">
        <v>47</v>
      </c>
      <c r="I63" s="38">
        <v>-17050</v>
      </c>
      <c r="J63" s="38">
        <v>214795.64</v>
      </c>
    </row>
    <row r="64" spans="2:10" x14ac:dyDescent="0.25">
      <c r="B64" s="40" t="s">
        <v>412</v>
      </c>
      <c r="C64" s="40" t="s">
        <v>293</v>
      </c>
      <c r="D64" s="40" t="s">
        <v>317</v>
      </c>
      <c r="E64" s="40" t="s">
        <v>291</v>
      </c>
      <c r="F64" s="40"/>
      <c r="G64" s="40" t="s">
        <v>834</v>
      </c>
      <c r="H64" s="39" t="s">
        <v>289</v>
      </c>
      <c r="I64" s="38">
        <v>-4218.51</v>
      </c>
      <c r="J64" s="38">
        <v>210577.13</v>
      </c>
    </row>
    <row r="65" spans="2:10" x14ac:dyDescent="0.25">
      <c r="B65" s="40" t="s">
        <v>412</v>
      </c>
      <c r="C65" s="40" t="s">
        <v>293</v>
      </c>
      <c r="D65" s="40" t="s">
        <v>317</v>
      </c>
      <c r="E65" s="40" t="s">
        <v>291</v>
      </c>
      <c r="F65" s="40"/>
      <c r="G65" s="40" t="s">
        <v>833</v>
      </c>
      <c r="H65" s="39" t="s">
        <v>289</v>
      </c>
      <c r="I65" s="38">
        <v>-13313.46</v>
      </c>
      <c r="J65" s="38">
        <v>197263.67</v>
      </c>
    </row>
    <row r="66" spans="2:10" x14ac:dyDescent="0.25">
      <c r="B66" s="40" t="s">
        <v>412</v>
      </c>
      <c r="C66" s="40" t="s">
        <v>359</v>
      </c>
      <c r="D66" s="40"/>
      <c r="E66" s="40" t="s">
        <v>291</v>
      </c>
      <c r="F66" s="40"/>
      <c r="G66" s="40" t="s">
        <v>413</v>
      </c>
      <c r="H66" s="39" t="s">
        <v>289</v>
      </c>
      <c r="I66" s="38">
        <v>714.39</v>
      </c>
      <c r="J66" s="38">
        <v>197978.06</v>
      </c>
    </row>
    <row r="67" spans="2:10" x14ac:dyDescent="0.25">
      <c r="B67" s="40" t="s">
        <v>351</v>
      </c>
      <c r="C67" s="40" t="s">
        <v>306</v>
      </c>
      <c r="D67" s="40"/>
      <c r="E67" s="40" t="s">
        <v>291</v>
      </c>
      <c r="F67" s="40" t="s">
        <v>651</v>
      </c>
      <c r="G67" s="39" t="s">
        <v>653</v>
      </c>
      <c r="H67" s="40" t="s">
        <v>57</v>
      </c>
      <c r="I67" s="38">
        <v>-1469.7</v>
      </c>
      <c r="J67" s="38">
        <v>196508.36</v>
      </c>
    </row>
    <row r="68" spans="2:10" x14ac:dyDescent="0.25">
      <c r="B68" s="40" t="s">
        <v>351</v>
      </c>
      <c r="C68" s="40" t="s">
        <v>359</v>
      </c>
      <c r="D68" s="40"/>
      <c r="E68" s="40" t="s">
        <v>291</v>
      </c>
      <c r="F68" s="40"/>
      <c r="G68" s="40" t="s">
        <v>406</v>
      </c>
      <c r="H68" s="39" t="s">
        <v>289</v>
      </c>
      <c r="I68" s="38">
        <v>57.87</v>
      </c>
      <c r="J68" s="38">
        <v>196566.23</v>
      </c>
    </row>
    <row r="69" spans="2:10" x14ac:dyDescent="0.25">
      <c r="B69" s="40" t="s">
        <v>351</v>
      </c>
      <c r="C69" s="40" t="s">
        <v>359</v>
      </c>
      <c r="D69" s="40"/>
      <c r="E69" s="40" t="s">
        <v>291</v>
      </c>
      <c r="F69" s="40"/>
      <c r="G69" s="40" t="s">
        <v>407</v>
      </c>
      <c r="H69" s="39" t="s">
        <v>289</v>
      </c>
      <c r="I69" s="38">
        <v>381.44</v>
      </c>
      <c r="J69" s="38">
        <v>196947.67</v>
      </c>
    </row>
    <row r="70" spans="2:10" x14ac:dyDescent="0.25">
      <c r="B70" s="40" t="s">
        <v>351</v>
      </c>
      <c r="C70" s="40" t="s">
        <v>359</v>
      </c>
      <c r="D70" s="40"/>
      <c r="E70" s="40" t="s">
        <v>291</v>
      </c>
      <c r="F70" s="40"/>
      <c r="G70" s="40" t="s">
        <v>409</v>
      </c>
      <c r="H70" s="39" t="s">
        <v>289</v>
      </c>
      <c r="I70" s="38">
        <v>433.04</v>
      </c>
      <c r="J70" s="38">
        <v>197380.71</v>
      </c>
    </row>
    <row r="71" spans="2:10" x14ac:dyDescent="0.25">
      <c r="B71" s="40" t="s">
        <v>351</v>
      </c>
      <c r="C71" s="40" t="s">
        <v>359</v>
      </c>
      <c r="D71" s="40"/>
      <c r="E71" s="40" t="s">
        <v>291</v>
      </c>
      <c r="F71" s="40"/>
      <c r="G71" s="40" t="s">
        <v>410</v>
      </c>
      <c r="H71" s="39" t="s">
        <v>289</v>
      </c>
      <c r="I71" s="38">
        <v>970.03</v>
      </c>
      <c r="J71" s="38">
        <v>198350.74</v>
      </c>
    </row>
    <row r="72" spans="2:10" x14ac:dyDescent="0.25">
      <c r="B72" s="40" t="s">
        <v>351</v>
      </c>
      <c r="C72" s="40" t="s">
        <v>359</v>
      </c>
      <c r="D72" s="40"/>
      <c r="E72" s="40" t="s">
        <v>291</v>
      </c>
      <c r="F72" s="40"/>
      <c r="G72" s="40" t="s">
        <v>408</v>
      </c>
      <c r="H72" s="39" t="s">
        <v>289</v>
      </c>
      <c r="I72" s="38">
        <v>173.65</v>
      </c>
      <c r="J72" s="38">
        <v>198524.39</v>
      </c>
    </row>
    <row r="73" spans="2:10" x14ac:dyDescent="0.25">
      <c r="B73" s="40" t="s">
        <v>315</v>
      </c>
      <c r="C73" s="40" t="s">
        <v>359</v>
      </c>
      <c r="D73" s="40"/>
      <c r="E73" s="40" t="s">
        <v>291</v>
      </c>
      <c r="F73" s="40"/>
      <c r="G73" s="40" t="s">
        <v>405</v>
      </c>
      <c r="H73" s="39" t="s">
        <v>289</v>
      </c>
      <c r="I73" s="38">
        <v>231.91</v>
      </c>
      <c r="J73" s="38">
        <v>198756.3</v>
      </c>
    </row>
    <row r="74" spans="2:10" x14ac:dyDescent="0.25">
      <c r="B74" s="40" t="s">
        <v>315</v>
      </c>
      <c r="C74" s="40" t="s">
        <v>306</v>
      </c>
      <c r="D74" s="40"/>
      <c r="E74" s="40" t="s">
        <v>291</v>
      </c>
      <c r="F74" s="40" t="s">
        <v>403</v>
      </c>
      <c r="G74" s="40" t="s">
        <v>402</v>
      </c>
      <c r="H74" s="40" t="s">
        <v>672</v>
      </c>
      <c r="I74" s="38">
        <v>-228.46</v>
      </c>
      <c r="J74" s="38">
        <v>198527.84</v>
      </c>
    </row>
    <row r="75" spans="2:10" x14ac:dyDescent="0.25">
      <c r="B75" s="40" t="s">
        <v>315</v>
      </c>
      <c r="C75" s="40" t="s">
        <v>359</v>
      </c>
      <c r="D75" s="40"/>
      <c r="E75" s="40" t="s">
        <v>291</v>
      </c>
      <c r="F75" s="40"/>
      <c r="G75" s="40" t="s">
        <v>404</v>
      </c>
      <c r="H75" s="39" t="s">
        <v>289</v>
      </c>
      <c r="I75" s="38">
        <v>222.05</v>
      </c>
      <c r="J75" s="38">
        <v>198749.89</v>
      </c>
    </row>
    <row r="76" spans="2:10" x14ac:dyDescent="0.25">
      <c r="B76" s="40" t="s">
        <v>350</v>
      </c>
      <c r="C76" s="40" t="s">
        <v>359</v>
      </c>
      <c r="D76" s="40"/>
      <c r="E76" s="40" t="s">
        <v>291</v>
      </c>
      <c r="F76" s="40"/>
      <c r="G76" s="40" t="s">
        <v>401</v>
      </c>
      <c r="H76" s="39" t="s">
        <v>289</v>
      </c>
      <c r="I76" s="38">
        <v>500.83</v>
      </c>
      <c r="J76" s="38">
        <v>199250.72</v>
      </c>
    </row>
    <row r="77" spans="2:10" x14ac:dyDescent="0.25">
      <c r="B77" s="40" t="s">
        <v>350</v>
      </c>
      <c r="C77" s="40" t="s">
        <v>359</v>
      </c>
      <c r="D77" s="40"/>
      <c r="E77" s="40" t="s">
        <v>291</v>
      </c>
      <c r="F77" s="40"/>
      <c r="G77" s="40"/>
      <c r="H77" s="40" t="s">
        <v>835</v>
      </c>
      <c r="I77" s="38">
        <v>1487</v>
      </c>
      <c r="J77" s="38">
        <v>200737.72</v>
      </c>
    </row>
    <row r="78" spans="2:10" x14ac:dyDescent="0.25">
      <c r="B78" s="40" t="s">
        <v>350</v>
      </c>
      <c r="C78" s="40" t="s">
        <v>359</v>
      </c>
      <c r="D78" s="40"/>
      <c r="E78" s="40" t="s">
        <v>291</v>
      </c>
      <c r="F78" s="40"/>
      <c r="G78" s="40" t="s">
        <v>400</v>
      </c>
      <c r="H78" s="39" t="s">
        <v>289</v>
      </c>
      <c r="I78" s="38">
        <v>994.02</v>
      </c>
      <c r="J78" s="38">
        <v>201731.74</v>
      </c>
    </row>
    <row r="79" spans="2:10" x14ac:dyDescent="0.25">
      <c r="B79" s="40" t="s">
        <v>350</v>
      </c>
      <c r="C79" s="40" t="s">
        <v>678</v>
      </c>
      <c r="D79" s="40" t="s">
        <v>748</v>
      </c>
      <c r="E79" s="40" t="s">
        <v>291</v>
      </c>
      <c r="F79" s="40" t="s">
        <v>492</v>
      </c>
      <c r="G79" s="40"/>
      <c r="H79" s="40" t="s">
        <v>47</v>
      </c>
      <c r="I79" s="38">
        <v>-500</v>
      </c>
      <c r="J79" s="38">
        <v>201231.74</v>
      </c>
    </row>
    <row r="80" spans="2:10" ht="23.25" x14ac:dyDescent="0.25">
      <c r="B80" s="40" t="s">
        <v>350</v>
      </c>
      <c r="C80" s="40" t="s">
        <v>678</v>
      </c>
      <c r="D80" s="40" t="s">
        <v>749</v>
      </c>
      <c r="E80" s="40" t="s">
        <v>291</v>
      </c>
      <c r="F80" s="40" t="s">
        <v>548</v>
      </c>
      <c r="G80" s="40"/>
      <c r="H80" s="40" t="s">
        <v>47</v>
      </c>
      <c r="I80" s="38">
        <v>-130</v>
      </c>
      <c r="J80" s="38">
        <v>201101.74</v>
      </c>
    </row>
    <row r="81" spans="2:10" x14ac:dyDescent="0.25">
      <c r="B81" s="40" t="s">
        <v>350</v>
      </c>
      <c r="C81" s="40" t="s">
        <v>826</v>
      </c>
      <c r="D81" s="40"/>
      <c r="E81" s="40" t="s">
        <v>291</v>
      </c>
      <c r="F81" s="40" t="s">
        <v>610</v>
      </c>
      <c r="G81" s="40"/>
      <c r="H81" s="40" t="s">
        <v>14</v>
      </c>
      <c r="I81" s="38">
        <v>3625</v>
      </c>
      <c r="J81" s="38">
        <v>204726.74</v>
      </c>
    </row>
    <row r="82" spans="2:10" x14ac:dyDescent="0.25">
      <c r="B82" s="40" t="s">
        <v>346</v>
      </c>
      <c r="C82" s="40" t="s">
        <v>359</v>
      </c>
      <c r="D82" s="40"/>
      <c r="E82" s="40" t="s">
        <v>291</v>
      </c>
      <c r="F82" s="40"/>
      <c r="G82" s="40" t="s">
        <v>398</v>
      </c>
      <c r="H82" s="39" t="s">
        <v>289</v>
      </c>
      <c r="I82" s="38">
        <v>1152.1099999999999</v>
      </c>
      <c r="J82" s="38">
        <v>205878.85</v>
      </c>
    </row>
    <row r="83" spans="2:10" x14ac:dyDescent="0.25">
      <c r="B83" s="40" t="s">
        <v>346</v>
      </c>
      <c r="C83" s="40" t="s">
        <v>359</v>
      </c>
      <c r="D83" s="40"/>
      <c r="E83" s="40" t="s">
        <v>291</v>
      </c>
      <c r="F83" s="40"/>
      <c r="G83" s="40" t="s">
        <v>399</v>
      </c>
      <c r="H83" s="39" t="s">
        <v>289</v>
      </c>
      <c r="I83" s="38">
        <v>266.60000000000002</v>
      </c>
      <c r="J83" s="38">
        <v>206145.45</v>
      </c>
    </row>
    <row r="84" spans="2:10" x14ac:dyDescent="0.25">
      <c r="B84" s="40" t="s">
        <v>345</v>
      </c>
      <c r="C84" s="40" t="s">
        <v>359</v>
      </c>
      <c r="D84" s="40"/>
      <c r="E84" s="40" t="s">
        <v>291</v>
      </c>
      <c r="F84" s="40"/>
      <c r="G84" s="40" t="s">
        <v>397</v>
      </c>
      <c r="H84" s="39" t="s">
        <v>289</v>
      </c>
      <c r="I84" s="38">
        <v>48.35</v>
      </c>
      <c r="J84" s="38">
        <v>206193.8</v>
      </c>
    </row>
    <row r="85" spans="2:10" x14ac:dyDescent="0.25">
      <c r="B85" s="40" t="s">
        <v>345</v>
      </c>
      <c r="C85" s="40" t="s">
        <v>359</v>
      </c>
      <c r="D85" s="40"/>
      <c r="E85" s="40" t="s">
        <v>291</v>
      </c>
      <c r="F85" s="40"/>
      <c r="G85" s="40" t="s">
        <v>395</v>
      </c>
      <c r="H85" s="39" t="s">
        <v>289</v>
      </c>
      <c r="I85" s="38">
        <v>867.52</v>
      </c>
      <c r="J85" s="38">
        <v>207061.32</v>
      </c>
    </row>
    <row r="86" spans="2:10" x14ac:dyDescent="0.25">
      <c r="B86" s="40" t="s">
        <v>310</v>
      </c>
      <c r="C86" s="40" t="s">
        <v>359</v>
      </c>
      <c r="D86" s="40"/>
      <c r="E86" s="40" t="s">
        <v>291</v>
      </c>
      <c r="F86" s="40"/>
      <c r="G86" s="40" t="s">
        <v>393</v>
      </c>
      <c r="H86" s="39" t="s">
        <v>289</v>
      </c>
      <c r="I86" s="38">
        <v>338.6</v>
      </c>
      <c r="J86" s="38">
        <v>207399.92</v>
      </c>
    </row>
    <row r="87" spans="2:10" x14ac:dyDescent="0.25">
      <c r="B87" s="40" t="s">
        <v>310</v>
      </c>
      <c r="C87" s="40" t="s">
        <v>359</v>
      </c>
      <c r="D87" s="40"/>
      <c r="E87" s="40" t="s">
        <v>291</v>
      </c>
      <c r="F87" s="40" t="s">
        <v>642</v>
      </c>
      <c r="G87" s="40" t="s">
        <v>641</v>
      </c>
      <c r="H87" s="40" t="s">
        <v>831</v>
      </c>
      <c r="I87" s="38">
        <v>150</v>
      </c>
      <c r="J87" s="38">
        <v>207549.92</v>
      </c>
    </row>
    <row r="88" spans="2:10" x14ac:dyDescent="0.25">
      <c r="B88" s="40" t="s">
        <v>310</v>
      </c>
      <c r="C88" s="40" t="s">
        <v>359</v>
      </c>
      <c r="D88" s="40"/>
      <c r="E88" s="40" t="s">
        <v>291</v>
      </c>
      <c r="F88" s="40"/>
      <c r="G88" s="40" t="s">
        <v>390</v>
      </c>
      <c r="H88" s="39" t="s">
        <v>289</v>
      </c>
      <c r="I88" s="38">
        <v>880.58</v>
      </c>
      <c r="J88" s="38">
        <v>208430.5</v>
      </c>
    </row>
    <row r="89" spans="2:10" x14ac:dyDescent="0.25">
      <c r="B89" s="40" t="s">
        <v>310</v>
      </c>
      <c r="C89" s="40" t="s">
        <v>359</v>
      </c>
      <c r="D89" s="40"/>
      <c r="E89" s="40" t="s">
        <v>291</v>
      </c>
      <c r="F89" s="40"/>
      <c r="G89" s="40" t="s">
        <v>392</v>
      </c>
      <c r="H89" s="39" t="s">
        <v>289</v>
      </c>
      <c r="I89" s="38">
        <v>1195.69</v>
      </c>
      <c r="J89" s="38">
        <v>209626.19</v>
      </c>
    </row>
    <row r="90" spans="2:10" x14ac:dyDescent="0.25">
      <c r="B90" s="40" t="s">
        <v>310</v>
      </c>
      <c r="C90" s="40" t="s">
        <v>359</v>
      </c>
      <c r="D90" s="40"/>
      <c r="E90" s="40" t="s">
        <v>291</v>
      </c>
      <c r="F90" s="40"/>
      <c r="G90" s="40" t="s">
        <v>394</v>
      </c>
      <c r="H90" s="39" t="s">
        <v>289</v>
      </c>
      <c r="I90" s="38">
        <v>933.84</v>
      </c>
      <c r="J90" s="38">
        <v>210560.03</v>
      </c>
    </row>
    <row r="91" spans="2:10" x14ac:dyDescent="0.25">
      <c r="B91" s="40" t="s">
        <v>310</v>
      </c>
      <c r="C91" s="40" t="s">
        <v>359</v>
      </c>
      <c r="D91" s="40"/>
      <c r="E91" s="40" t="s">
        <v>291</v>
      </c>
      <c r="F91" s="40"/>
      <c r="G91" s="40" t="s">
        <v>391</v>
      </c>
      <c r="H91" s="39" t="s">
        <v>289</v>
      </c>
      <c r="I91" s="38">
        <v>556.38</v>
      </c>
      <c r="J91" s="38">
        <v>211116.41</v>
      </c>
    </row>
    <row r="92" spans="2:10" ht="23.25" x14ac:dyDescent="0.25">
      <c r="B92" s="40" t="s">
        <v>343</v>
      </c>
      <c r="C92" s="40" t="s">
        <v>678</v>
      </c>
      <c r="D92" s="40" t="s">
        <v>724</v>
      </c>
      <c r="E92" s="40" t="s">
        <v>291</v>
      </c>
      <c r="F92" s="40" t="s">
        <v>544</v>
      </c>
      <c r="G92" s="40"/>
      <c r="H92" s="40" t="s">
        <v>47</v>
      </c>
      <c r="I92" s="38">
        <v>-26</v>
      </c>
      <c r="J92" s="38">
        <v>211090.41</v>
      </c>
    </row>
    <row r="93" spans="2:10" ht="23.25" x14ac:dyDescent="0.25">
      <c r="B93" s="40" t="s">
        <v>343</v>
      </c>
      <c r="C93" s="40" t="s">
        <v>678</v>
      </c>
      <c r="D93" s="40" t="s">
        <v>726</v>
      </c>
      <c r="E93" s="40" t="s">
        <v>291</v>
      </c>
      <c r="F93" s="40" t="s">
        <v>564</v>
      </c>
      <c r="G93" s="40"/>
      <c r="H93" s="40" t="s">
        <v>47</v>
      </c>
      <c r="I93" s="38">
        <v>-9.1</v>
      </c>
      <c r="J93" s="38">
        <v>211081.31</v>
      </c>
    </row>
    <row r="94" spans="2:10" x14ac:dyDescent="0.25">
      <c r="B94" s="40" t="s">
        <v>343</v>
      </c>
      <c r="C94" s="40" t="s">
        <v>359</v>
      </c>
      <c r="D94" s="40"/>
      <c r="E94" s="40" t="s">
        <v>291</v>
      </c>
      <c r="F94" s="40"/>
      <c r="G94" s="40" t="s">
        <v>389</v>
      </c>
      <c r="H94" s="39" t="s">
        <v>289</v>
      </c>
      <c r="I94" s="38">
        <v>77.77</v>
      </c>
      <c r="J94" s="38">
        <v>211159.08</v>
      </c>
    </row>
    <row r="95" spans="2:10" x14ac:dyDescent="0.25">
      <c r="B95" s="40" t="s">
        <v>343</v>
      </c>
      <c r="C95" s="40" t="s">
        <v>359</v>
      </c>
      <c r="D95" s="40"/>
      <c r="E95" s="40" t="s">
        <v>291</v>
      </c>
      <c r="F95" s="40"/>
      <c r="G95" s="40" t="s">
        <v>388</v>
      </c>
      <c r="H95" s="39" t="s">
        <v>289</v>
      </c>
      <c r="I95" s="38">
        <v>295.45999999999998</v>
      </c>
      <c r="J95" s="38">
        <v>211454.54</v>
      </c>
    </row>
    <row r="96" spans="2:10" ht="23.25" x14ac:dyDescent="0.25">
      <c r="B96" s="40" t="s">
        <v>343</v>
      </c>
      <c r="C96" s="40" t="s">
        <v>678</v>
      </c>
      <c r="D96" s="40" t="s">
        <v>725</v>
      </c>
      <c r="E96" s="40" t="s">
        <v>291</v>
      </c>
      <c r="F96" s="40" t="s">
        <v>570</v>
      </c>
      <c r="G96" s="40"/>
      <c r="H96" s="40" t="s">
        <v>47</v>
      </c>
      <c r="I96" s="38">
        <v>-19.5</v>
      </c>
      <c r="J96" s="38">
        <v>211435.04</v>
      </c>
    </row>
    <row r="97" spans="2:10" x14ac:dyDescent="0.25">
      <c r="B97" s="40" t="s">
        <v>339</v>
      </c>
      <c r="C97" s="40" t="s">
        <v>678</v>
      </c>
      <c r="D97" s="40" t="s">
        <v>710</v>
      </c>
      <c r="E97" s="40" t="s">
        <v>291</v>
      </c>
      <c r="F97" s="40" t="s">
        <v>348</v>
      </c>
      <c r="G97" s="40"/>
      <c r="H97" s="40" t="s">
        <v>47</v>
      </c>
      <c r="I97" s="38">
        <v>-468</v>
      </c>
      <c r="J97" s="38">
        <v>210967.04000000001</v>
      </c>
    </row>
    <row r="98" spans="2:10" x14ac:dyDescent="0.25">
      <c r="B98" s="40" t="s">
        <v>339</v>
      </c>
      <c r="C98" s="40" t="s">
        <v>359</v>
      </c>
      <c r="D98" s="40"/>
      <c r="E98" s="40" t="s">
        <v>291</v>
      </c>
      <c r="F98" s="40"/>
      <c r="G98" s="40" t="s">
        <v>387</v>
      </c>
      <c r="H98" s="39" t="s">
        <v>289</v>
      </c>
      <c r="I98" s="38">
        <v>193.47</v>
      </c>
      <c r="J98" s="38">
        <v>211160.51</v>
      </c>
    </row>
    <row r="99" spans="2:10" ht="23.25" x14ac:dyDescent="0.25">
      <c r="B99" s="40" t="s">
        <v>339</v>
      </c>
      <c r="C99" s="40" t="s">
        <v>678</v>
      </c>
      <c r="D99" s="40" t="s">
        <v>717</v>
      </c>
      <c r="E99" s="40" t="s">
        <v>291</v>
      </c>
      <c r="F99" s="40" t="s">
        <v>507</v>
      </c>
      <c r="G99" s="40"/>
      <c r="H99" s="40" t="s">
        <v>47</v>
      </c>
      <c r="I99" s="38">
        <v>-18233.099999999999</v>
      </c>
      <c r="J99" s="38">
        <v>192927.41</v>
      </c>
    </row>
    <row r="100" spans="2:10" ht="23.25" x14ac:dyDescent="0.25">
      <c r="B100" s="40" t="s">
        <v>339</v>
      </c>
      <c r="C100" s="40" t="s">
        <v>678</v>
      </c>
      <c r="D100" s="40" t="s">
        <v>713</v>
      </c>
      <c r="E100" s="40" t="s">
        <v>291</v>
      </c>
      <c r="F100" s="40" t="s">
        <v>543</v>
      </c>
      <c r="G100" s="40"/>
      <c r="H100" s="40" t="s">
        <v>47</v>
      </c>
      <c r="I100" s="38">
        <v>-5.17</v>
      </c>
      <c r="J100" s="38">
        <v>192922.23999999999</v>
      </c>
    </row>
    <row r="101" spans="2:10" x14ac:dyDescent="0.25">
      <c r="B101" s="40" t="s">
        <v>339</v>
      </c>
      <c r="C101" s="40" t="s">
        <v>826</v>
      </c>
      <c r="D101" s="40">
        <v>1834</v>
      </c>
      <c r="E101" s="40" t="s">
        <v>291</v>
      </c>
      <c r="F101" s="40" t="s">
        <v>610</v>
      </c>
      <c r="G101" s="40"/>
      <c r="H101" s="40" t="s">
        <v>14</v>
      </c>
      <c r="I101" s="38">
        <v>13645</v>
      </c>
      <c r="J101" s="38">
        <v>206567.24</v>
      </c>
    </row>
    <row r="102" spans="2:10" x14ac:dyDescent="0.25">
      <c r="B102" s="40" t="s">
        <v>339</v>
      </c>
      <c r="C102" s="40" t="s">
        <v>359</v>
      </c>
      <c r="D102" s="40"/>
      <c r="E102" s="40" t="s">
        <v>291</v>
      </c>
      <c r="F102" s="40"/>
      <c r="G102" s="40" t="s">
        <v>386</v>
      </c>
      <c r="H102" s="39" t="s">
        <v>289</v>
      </c>
      <c r="I102" s="38">
        <v>222.45</v>
      </c>
      <c r="J102" s="38">
        <v>206789.69</v>
      </c>
    </row>
    <row r="103" spans="2:10" x14ac:dyDescent="0.25">
      <c r="B103" s="40" t="s">
        <v>339</v>
      </c>
      <c r="C103" s="40" t="s">
        <v>359</v>
      </c>
      <c r="D103" s="40"/>
      <c r="E103" s="40" t="s">
        <v>291</v>
      </c>
      <c r="F103" s="40"/>
      <c r="G103" s="40" t="s">
        <v>599</v>
      </c>
      <c r="H103" s="39" t="s">
        <v>289</v>
      </c>
      <c r="I103" s="38">
        <v>656</v>
      </c>
      <c r="J103" s="38">
        <v>207445.69</v>
      </c>
    </row>
    <row r="104" spans="2:10" x14ac:dyDescent="0.25">
      <c r="B104" s="40" t="s">
        <v>339</v>
      </c>
      <c r="C104" s="40" t="s">
        <v>678</v>
      </c>
      <c r="D104" s="40"/>
      <c r="E104" s="40" t="s">
        <v>291</v>
      </c>
      <c r="F104" s="40" t="s">
        <v>468</v>
      </c>
      <c r="G104" s="40"/>
      <c r="H104" s="40" t="s">
        <v>47</v>
      </c>
      <c r="I104" s="38">
        <v>-2767</v>
      </c>
      <c r="J104" s="38">
        <v>204678.69</v>
      </c>
    </row>
    <row r="105" spans="2:10" ht="23.25" x14ac:dyDescent="0.25">
      <c r="B105" s="40" t="s">
        <v>339</v>
      </c>
      <c r="C105" s="40" t="s">
        <v>678</v>
      </c>
      <c r="D105" s="40" t="s">
        <v>719</v>
      </c>
      <c r="E105" s="40" t="s">
        <v>291</v>
      </c>
      <c r="F105" s="40" t="s">
        <v>542</v>
      </c>
      <c r="G105" s="40"/>
      <c r="H105" s="40" t="s">
        <v>47</v>
      </c>
      <c r="I105" s="38">
        <v>-94.25</v>
      </c>
      <c r="J105" s="38">
        <v>204584.44</v>
      </c>
    </row>
    <row r="106" spans="2:10" ht="23.25" x14ac:dyDescent="0.25">
      <c r="B106" s="40" t="s">
        <v>339</v>
      </c>
      <c r="C106" s="40" t="s">
        <v>678</v>
      </c>
      <c r="D106" s="40" t="s">
        <v>716</v>
      </c>
      <c r="E106" s="40" t="s">
        <v>291</v>
      </c>
      <c r="F106" s="40" t="s">
        <v>558</v>
      </c>
      <c r="G106" s="40"/>
      <c r="H106" s="40" t="s">
        <v>47</v>
      </c>
      <c r="I106" s="38">
        <v>-32.5</v>
      </c>
      <c r="J106" s="38">
        <v>204551.94</v>
      </c>
    </row>
    <row r="107" spans="2:10" ht="23.25" x14ac:dyDescent="0.25">
      <c r="B107" s="40" t="s">
        <v>339</v>
      </c>
      <c r="C107" s="40" t="s">
        <v>678</v>
      </c>
      <c r="D107" s="40" t="s">
        <v>721</v>
      </c>
      <c r="E107" s="40" t="s">
        <v>291</v>
      </c>
      <c r="F107" s="40" t="s">
        <v>544</v>
      </c>
      <c r="G107" s="40"/>
      <c r="H107" s="40" t="s">
        <v>47</v>
      </c>
      <c r="I107" s="38">
        <v>-39</v>
      </c>
      <c r="J107" s="38">
        <v>204512.94</v>
      </c>
    </row>
    <row r="108" spans="2:10" ht="23.25" x14ac:dyDescent="0.25">
      <c r="B108" s="40" t="s">
        <v>339</v>
      </c>
      <c r="C108" s="40" t="s">
        <v>678</v>
      </c>
      <c r="D108" s="40" t="s">
        <v>712</v>
      </c>
      <c r="E108" s="40" t="s">
        <v>291</v>
      </c>
      <c r="F108" s="40" t="s">
        <v>557</v>
      </c>
      <c r="G108" s="40"/>
      <c r="H108" s="40" t="s">
        <v>47</v>
      </c>
      <c r="I108" s="38">
        <v>-52</v>
      </c>
      <c r="J108" s="38">
        <v>204460.94</v>
      </c>
    </row>
    <row r="109" spans="2:10" x14ac:dyDescent="0.25">
      <c r="B109" s="40" t="s">
        <v>339</v>
      </c>
      <c r="C109" s="40" t="s">
        <v>359</v>
      </c>
      <c r="D109" s="40"/>
      <c r="E109" s="40" t="s">
        <v>291</v>
      </c>
      <c r="F109" s="40"/>
      <c r="G109" s="40" t="s">
        <v>598</v>
      </c>
      <c r="H109" s="39" t="s">
        <v>289</v>
      </c>
      <c r="I109" s="38">
        <v>658</v>
      </c>
      <c r="J109" s="38">
        <v>205118.94</v>
      </c>
    </row>
    <row r="110" spans="2:10" ht="23.25" x14ac:dyDescent="0.25">
      <c r="B110" s="40" t="s">
        <v>339</v>
      </c>
      <c r="C110" s="40" t="s">
        <v>678</v>
      </c>
      <c r="D110" s="40" t="s">
        <v>714</v>
      </c>
      <c r="E110" s="40" t="s">
        <v>291</v>
      </c>
      <c r="F110" s="40" t="s">
        <v>560</v>
      </c>
      <c r="G110" s="40"/>
      <c r="H110" s="40" t="s">
        <v>47</v>
      </c>
      <c r="I110" s="38">
        <v>-94.25</v>
      </c>
      <c r="J110" s="38">
        <v>205024.69</v>
      </c>
    </row>
    <row r="111" spans="2:10" x14ac:dyDescent="0.25">
      <c r="B111" s="40" t="s">
        <v>339</v>
      </c>
      <c r="C111" s="40" t="s">
        <v>678</v>
      </c>
      <c r="D111" s="40" t="s">
        <v>718</v>
      </c>
      <c r="E111" s="40" t="s">
        <v>291</v>
      </c>
      <c r="F111" s="40" t="s">
        <v>562</v>
      </c>
      <c r="G111" s="40"/>
      <c r="H111" s="40" t="s">
        <v>47</v>
      </c>
      <c r="I111" s="38">
        <v>-6.44</v>
      </c>
      <c r="J111" s="38">
        <v>205018.25</v>
      </c>
    </row>
    <row r="112" spans="2:10" x14ac:dyDescent="0.25">
      <c r="B112" s="40" t="s">
        <v>339</v>
      </c>
      <c r="C112" s="40" t="s">
        <v>359</v>
      </c>
      <c r="D112" s="40"/>
      <c r="E112" s="40" t="s">
        <v>291</v>
      </c>
      <c r="F112" s="40"/>
      <c r="G112" s="40" t="s">
        <v>600</v>
      </c>
      <c r="H112" s="39" t="s">
        <v>289</v>
      </c>
      <c r="I112" s="38">
        <v>335</v>
      </c>
      <c r="J112" s="38">
        <v>205353.25</v>
      </c>
    </row>
    <row r="113" spans="2:10" ht="23.25" x14ac:dyDescent="0.25">
      <c r="B113" s="40" t="s">
        <v>339</v>
      </c>
      <c r="C113" s="40" t="s">
        <v>678</v>
      </c>
      <c r="D113" s="40" t="s">
        <v>720</v>
      </c>
      <c r="E113" s="40" t="s">
        <v>291</v>
      </c>
      <c r="F113" s="40" t="s">
        <v>554</v>
      </c>
      <c r="G113" s="40"/>
      <c r="H113" s="40" t="s">
        <v>47</v>
      </c>
      <c r="I113" s="38">
        <v>-13</v>
      </c>
      <c r="J113" s="38">
        <v>205340.25</v>
      </c>
    </row>
    <row r="114" spans="2:10" x14ac:dyDescent="0.25">
      <c r="B114" s="40" t="s">
        <v>337</v>
      </c>
      <c r="C114" s="40" t="s">
        <v>359</v>
      </c>
      <c r="D114" s="40"/>
      <c r="E114" s="40" t="s">
        <v>291</v>
      </c>
      <c r="F114" s="40"/>
      <c r="G114" s="40" t="s">
        <v>385</v>
      </c>
      <c r="H114" s="39" t="s">
        <v>289</v>
      </c>
      <c r="I114" s="38">
        <v>803.53</v>
      </c>
      <c r="J114" s="38">
        <v>206143.78</v>
      </c>
    </row>
    <row r="115" spans="2:10" x14ac:dyDescent="0.25">
      <c r="B115" s="40" t="s">
        <v>337</v>
      </c>
      <c r="C115" s="40" t="s">
        <v>359</v>
      </c>
      <c r="D115" s="40"/>
      <c r="E115" s="40" t="s">
        <v>291</v>
      </c>
      <c r="F115" s="40"/>
      <c r="G115" s="40" t="s">
        <v>384</v>
      </c>
      <c r="H115" s="39" t="s">
        <v>289</v>
      </c>
      <c r="I115" s="38">
        <v>363.92</v>
      </c>
      <c r="J115" s="38">
        <v>206507.7</v>
      </c>
    </row>
    <row r="116" spans="2:10" ht="23.25" x14ac:dyDescent="0.25">
      <c r="B116" s="40" t="s">
        <v>337</v>
      </c>
      <c r="C116" s="40" t="s">
        <v>678</v>
      </c>
      <c r="D116" s="40" t="s">
        <v>706</v>
      </c>
      <c r="E116" s="40" t="s">
        <v>291</v>
      </c>
      <c r="F116" s="40" t="s">
        <v>705</v>
      </c>
      <c r="G116" s="40"/>
      <c r="H116" s="40" t="s">
        <v>47</v>
      </c>
      <c r="I116" s="38">
        <v>-485</v>
      </c>
      <c r="J116" s="38">
        <v>206022.7</v>
      </c>
    </row>
    <row r="117" spans="2:10" x14ac:dyDescent="0.25">
      <c r="B117" s="40" t="s">
        <v>337</v>
      </c>
      <c r="C117" s="40" t="s">
        <v>293</v>
      </c>
      <c r="D117" s="40" t="s">
        <v>317</v>
      </c>
      <c r="E117" s="40" t="s">
        <v>291</v>
      </c>
      <c r="F117" s="40"/>
      <c r="G117" s="40" t="s">
        <v>834</v>
      </c>
      <c r="H117" s="39" t="s">
        <v>289</v>
      </c>
      <c r="I117" s="38">
        <v>-4494.21</v>
      </c>
      <c r="J117" s="38">
        <v>201528.49</v>
      </c>
    </row>
    <row r="118" spans="2:10" x14ac:dyDescent="0.25">
      <c r="B118" s="40" t="s">
        <v>337</v>
      </c>
      <c r="C118" s="40" t="s">
        <v>293</v>
      </c>
      <c r="D118" s="40" t="s">
        <v>317</v>
      </c>
      <c r="E118" s="40" t="s">
        <v>291</v>
      </c>
      <c r="F118" s="40"/>
      <c r="G118" s="40" t="s">
        <v>833</v>
      </c>
      <c r="H118" s="39" t="s">
        <v>289</v>
      </c>
      <c r="I118" s="38">
        <v>-14674.97</v>
      </c>
      <c r="J118" s="38">
        <v>186853.52</v>
      </c>
    </row>
    <row r="119" spans="2:10" x14ac:dyDescent="0.25">
      <c r="B119" s="40" t="s">
        <v>337</v>
      </c>
      <c r="C119" s="40" t="s">
        <v>667</v>
      </c>
      <c r="D119" s="40"/>
      <c r="E119" s="40" t="s">
        <v>291</v>
      </c>
      <c r="F119" s="40"/>
      <c r="G119" s="40" t="s">
        <v>832</v>
      </c>
      <c r="H119" s="40" t="s">
        <v>53</v>
      </c>
      <c r="I119" s="38">
        <v>-7519.3</v>
      </c>
      <c r="J119" s="38">
        <v>179334.22</v>
      </c>
    </row>
    <row r="120" spans="2:10" x14ac:dyDescent="0.25">
      <c r="B120" s="40" t="s">
        <v>326</v>
      </c>
      <c r="C120" s="40" t="s">
        <v>359</v>
      </c>
      <c r="D120" s="40"/>
      <c r="E120" s="40" t="s">
        <v>291</v>
      </c>
      <c r="F120" s="40"/>
      <c r="G120" s="40" t="s">
        <v>379</v>
      </c>
      <c r="H120" s="39" t="s">
        <v>289</v>
      </c>
      <c r="I120" s="38">
        <v>964.01</v>
      </c>
      <c r="J120" s="38">
        <v>180298.23</v>
      </c>
    </row>
    <row r="121" spans="2:10" x14ac:dyDescent="0.25">
      <c r="B121" s="40" t="s">
        <v>326</v>
      </c>
      <c r="C121" s="40" t="s">
        <v>359</v>
      </c>
      <c r="D121" s="40"/>
      <c r="E121" s="40" t="s">
        <v>291</v>
      </c>
      <c r="F121" s="40" t="s">
        <v>639</v>
      </c>
      <c r="G121" s="40" t="s">
        <v>640</v>
      </c>
      <c r="H121" s="40" t="s">
        <v>831</v>
      </c>
      <c r="I121" s="38">
        <v>70</v>
      </c>
      <c r="J121" s="38">
        <v>180368.23</v>
      </c>
    </row>
    <row r="122" spans="2:10" x14ac:dyDescent="0.25">
      <c r="B122" s="40" t="s">
        <v>326</v>
      </c>
      <c r="C122" s="40" t="s">
        <v>359</v>
      </c>
      <c r="D122" s="40"/>
      <c r="E122" s="40" t="s">
        <v>291</v>
      </c>
      <c r="F122" s="40"/>
      <c r="G122" s="40" t="s">
        <v>381</v>
      </c>
      <c r="H122" s="39" t="s">
        <v>289</v>
      </c>
      <c r="I122" s="38">
        <v>136.19</v>
      </c>
      <c r="J122" s="38">
        <v>180504.42</v>
      </c>
    </row>
    <row r="123" spans="2:10" x14ac:dyDescent="0.25">
      <c r="B123" s="40" t="s">
        <v>326</v>
      </c>
      <c r="C123" s="40" t="s">
        <v>359</v>
      </c>
      <c r="D123" s="40"/>
      <c r="E123" s="40" t="s">
        <v>291</v>
      </c>
      <c r="F123" s="40"/>
      <c r="G123" s="40" t="s">
        <v>383</v>
      </c>
      <c r="H123" s="39" t="s">
        <v>289</v>
      </c>
      <c r="I123" s="38">
        <v>848.57</v>
      </c>
      <c r="J123" s="38">
        <v>181352.99</v>
      </c>
    </row>
    <row r="124" spans="2:10" ht="23.25" x14ac:dyDescent="0.25">
      <c r="B124" s="40" t="s">
        <v>326</v>
      </c>
      <c r="C124" s="40" t="s">
        <v>678</v>
      </c>
      <c r="D124" s="40" t="s">
        <v>699</v>
      </c>
      <c r="E124" s="40" t="s">
        <v>291</v>
      </c>
      <c r="F124" s="40" t="s">
        <v>336</v>
      </c>
      <c r="G124" s="40"/>
      <c r="H124" s="40" t="s">
        <v>47</v>
      </c>
      <c r="I124" s="38">
        <v>-165</v>
      </c>
      <c r="J124" s="38">
        <v>181187.99</v>
      </c>
    </row>
    <row r="125" spans="2:10" x14ac:dyDescent="0.25">
      <c r="B125" s="40" t="s">
        <v>326</v>
      </c>
      <c r="C125" s="40" t="s">
        <v>359</v>
      </c>
      <c r="D125" s="40"/>
      <c r="E125" s="40" t="s">
        <v>291</v>
      </c>
      <c r="F125" s="40"/>
      <c r="G125" s="40" t="s">
        <v>380</v>
      </c>
      <c r="H125" s="39" t="s">
        <v>289</v>
      </c>
      <c r="I125" s="38">
        <v>964.86</v>
      </c>
      <c r="J125" s="38">
        <v>182152.85</v>
      </c>
    </row>
    <row r="126" spans="2:10" ht="23.25" x14ac:dyDescent="0.25">
      <c r="B126" s="40" t="s">
        <v>326</v>
      </c>
      <c r="C126" s="40" t="s">
        <v>678</v>
      </c>
      <c r="D126" s="40" t="s">
        <v>698</v>
      </c>
      <c r="E126" s="40" t="s">
        <v>291</v>
      </c>
      <c r="F126" s="40" t="s">
        <v>336</v>
      </c>
      <c r="G126" s="40"/>
      <c r="H126" s="40" t="s">
        <v>47</v>
      </c>
      <c r="I126" s="38">
        <v>-137.9</v>
      </c>
      <c r="J126" s="38">
        <v>182014.95</v>
      </c>
    </row>
    <row r="127" spans="2:10" ht="23.25" x14ac:dyDescent="0.25">
      <c r="B127" s="40" t="s">
        <v>326</v>
      </c>
      <c r="C127" s="40" t="s">
        <v>678</v>
      </c>
      <c r="D127" s="40" t="s">
        <v>697</v>
      </c>
      <c r="E127" s="40" t="s">
        <v>291</v>
      </c>
      <c r="F127" s="40" t="s">
        <v>566</v>
      </c>
      <c r="G127" s="40"/>
      <c r="H127" s="40" t="s">
        <v>47</v>
      </c>
      <c r="I127" s="38">
        <v>-65</v>
      </c>
      <c r="J127" s="38">
        <v>181949.95</v>
      </c>
    </row>
    <row r="128" spans="2:10" ht="23.25" x14ac:dyDescent="0.25">
      <c r="B128" s="40" t="s">
        <v>326</v>
      </c>
      <c r="C128" s="40" t="s">
        <v>678</v>
      </c>
      <c r="D128" s="40" t="s">
        <v>691</v>
      </c>
      <c r="E128" s="40" t="s">
        <v>291</v>
      </c>
      <c r="F128" s="40" t="s">
        <v>490</v>
      </c>
      <c r="G128" s="40"/>
      <c r="H128" s="40" t="s">
        <v>47</v>
      </c>
      <c r="I128" s="38">
        <v>-2000</v>
      </c>
      <c r="J128" s="38">
        <v>179949.95</v>
      </c>
    </row>
    <row r="129" spans="2:10" ht="23.25" x14ac:dyDescent="0.25">
      <c r="B129" s="40" t="s">
        <v>326</v>
      </c>
      <c r="C129" s="40" t="s">
        <v>678</v>
      </c>
      <c r="D129" s="40" t="s">
        <v>695</v>
      </c>
      <c r="E129" s="40" t="s">
        <v>291</v>
      </c>
      <c r="F129" s="40" t="s">
        <v>546</v>
      </c>
      <c r="G129" s="40"/>
      <c r="H129" s="40" t="s">
        <v>47</v>
      </c>
      <c r="I129" s="38">
        <v>-18.649999999999999</v>
      </c>
      <c r="J129" s="38">
        <v>179931.3</v>
      </c>
    </row>
    <row r="130" spans="2:10" ht="23.25" x14ac:dyDescent="0.25">
      <c r="B130" s="40" t="s">
        <v>326</v>
      </c>
      <c r="C130" s="40" t="s">
        <v>678</v>
      </c>
      <c r="D130" s="40" t="s">
        <v>690</v>
      </c>
      <c r="E130" s="40" t="s">
        <v>291</v>
      </c>
      <c r="F130" s="40" t="s">
        <v>436</v>
      </c>
      <c r="G130" s="40"/>
      <c r="H130" s="40" t="s">
        <v>47</v>
      </c>
      <c r="I130" s="38">
        <v>-292.83</v>
      </c>
      <c r="J130" s="38">
        <v>179638.47</v>
      </c>
    </row>
    <row r="131" spans="2:10" ht="23.25" x14ac:dyDescent="0.25">
      <c r="B131" s="40" t="s">
        <v>326</v>
      </c>
      <c r="C131" s="40" t="s">
        <v>678</v>
      </c>
      <c r="D131" s="40" t="s">
        <v>694</v>
      </c>
      <c r="E131" s="40" t="s">
        <v>291</v>
      </c>
      <c r="F131" s="40" t="s">
        <v>458</v>
      </c>
      <c r="G131" s="40"/>
      <c r="H131" s="40" t="s">
        <v>47</v>
      </c>
      <c r="I131" s="38">
        <v>-1800</v>
      </c>
      <c r="J131" s="38">
        <v>177838.47</v>
      </c>
    </row>
    <row r="132" spans="2:10" x14ac:dyDescent="0.25">
      <c r="B132" s="40" t="s">
        <v>326</v>
      </c>
      <c r="C132" s="40" t="s">
        <v>359</v>
      </c>
      <c r="D132" s="40"/>
      <c r="E132" s="40" t="s">
        <v>291</v>
      </c>
      <c r="F132" s="40"/>
      <c r="G132" s="40" t="s">
        <v>378</v>
      </c>
      <c r="H132" s="39" t="s">
        <v>289</v>
      </c>
      <c r="I132" s="38">
        <v>287.77</v>
      </c>
      <c r="J132" s="38">
        <v>178126.24</v>
      </c>
    </row>
    <row r="133" spans="2:10" x14ac:dyDescent="0.25">
      <c r="B133" s="40" t="s">
        <v>326</v>
      </c>
      <c r="C133" s="40" t="s">
        <v>359</v>
      </c>
      <c r="D133" s="40"/>
      <c r="E133" s="40" t="s">
        <v>291</v>
      </c>
      <c r="F133" s="40"/>
      <c r="G133" s="40" t="s">
        <v>382</v>
      </c>
      <c r="H133" s="39" t="s">
        <v>289</v>
      </c>
      <c r="I133" s="38">
        <v>1144.29</v>
      </c>
      <c r="J133" s="38">
        <v>179270.53</v>
      </c>
    </row>
    <row r="134" spans="2:10" x14ac:dyDescent="0.25">
      <c r="B134" s="40" t="s">
        <v>326</v>
      </c>
      <c r="C134" s="40" t="s">
        <v>359</v>
      </c>
      <c r="D134" s="40"/>
      <c r="E134" s="40" t="s">
        <v>291</v>
      </c>
      <c r="F134" s="40"/>
      <c r="G134" s="40" t="s">
        <v>377</v>
      </c>
      <c r="H134" s="39" t="s">
        <v>289</v>
      </c>
      <c r="I134" s="38">
        <v>596.4</v>
      </c>
      <c r="J134" s="38">
        <v>179866.93</v>
      </c>
    </row>
    <row r="135" spans="2:10" x14ac:dyDescent="0.25">
      <c r="B135" s="40" t="s">
        <v>376</v>
      </c>
      <c r="C135" s="40" t="s">
        <v>306</v>
      </c>
      <c r="D135" s="40"/>
      <c r="E135" s="40" t="s">
        <v>291</v>
      </c>
      <c r="F135" s="40" t="s">
        <v>481</v>
      </c>
      <c r="G135" s="40" t="s">
        <v>480</v>
      </c>
      <c r="H135" s="40" t="s">
        <v>669</v>
      </c>
      <c r="I135" s="38">
        <v>-495</v>
      </c>
      <c r="J135" s="38">
        <v>179371.93</v>
      </c>
    </row>
    <row r="136" spans="2:10" x14ac:dyDescent="0.25">
      <c r="B136" s="40" t="s">
        <v>376</v>
      </c>
      <c r="C136" s="40" t="s">
        <v>359</v>
      </c>
      <c r="D136" s="40"/>
      <c r="E136" s="40" t="s">
        <v>291</v>
      </c>
      <c r="F136" s="40"/>
      <c r="G136" s="40" t="s">
        <v>375</v>
      </c>
      <c r="H136" s="39" t="s">
        <v>289</v>
      </c>
      <c r="I136" s="38">
        <v>403.71</v>
      </c>
      <c r="J136" s="38">
        <v>179775.64</v>
      </c>
    </row>
    <row r="137" spans="2:10" x14ac:dyDescent="0.25">
      <c r="B137" s="40" t="s">
        <v>376</v>
      </c>
      <c r="C137" s="40" t="s">
        <v>359</v>
      </c>
      <c r="D137" s="40"/>
      <c r="E137" s="40" t="s">
        <v>291</v>
      </c>
      <c r="F137" s="40"/>
      <c r="G137" s="40" t="s">
        <v>456</v>
      </c>
      <c r="H137" s="39" t="s">
        <v>289</v>
      </c>
      <c r="I137" s="38">
        <v>161.99</v>
      </c>
      <c r="J137" s="38">
        <v>179937.63</v>
      </c>
    </row>
    <row r="138" spans="2:10" ht="23.25" x14ac:dyDescent="0.25">
      <c r="B138" s="40" t="s">
        <v>376</v>
      </c>
      <c r="C138" s="40" t="s">
        <v>678</v>
      </c>
      <c r="D138" s="40" t="s">
        <v>689</v>
      </c>
      <c r="E138" s="40" t="s">
        <v>291</v>
      </c>
      <c r="F138" s="40" t="s">
        <v>464</v>
      </c>
      <c r="G138" s="40"/>
      <c r="H138" s="40" t="s">
        <v>47</v>
      </c>
      <c r="I138" s="38">
        <v>-781.79</v>
      </c>
      <c r="J138" s="38">
        <v>179155.84</v>
      </c>
    </row>
    <row r="139" spans="2:10" x14ac:dyDescent="0.25">
      <c r="B139" s="40" t="s">
        <v>322</v>
      </c>
      <c r="C139" s="40" t="s">
        <v>826</v>
      </c>
      <c r="D139" s="40">
        <v>1918</v>
      </c>
      <c r="E139" s="40" t="s">
        <v>291</v>
      </c>
      <c r="F139" s="40" t="s">
        <v>610</v>
      </c>
      <c r="G139" s="40"/>
      <c r="H139" s="40" t="s">
        <v>14</v>
      </c>
      <c r="I139" s="38">
        <v>9190</v>
      </c>
      <c r="J139" s="38">
        <v>188345.84</v>
      </c>
    </row>
    <row r="140" spans="2:10" x14ac:dyDescent="0.25">
      <c r="B140" s="40" t="s">
        <v>322</v>
      </c>
      <c r="C140" s="40" t="s">
        <v>359</v>
      </c>
      <c r="D140" s="40"/>
      <c r="E140" s="40" t="s">
        <v>291</v>
      </c>
      <c r="F140" s="40"/>
      <c r="G140" s="40" t="s">
        <v>373</v>
      </c>
      <c r="H140" s="39" t="s">
        <v>289</v>
      </c>
      <c r="I140" s="38">
        <v>2580.6999999999998</v>
      </c>
      <c r="J140" s="38">
        <v>190926.54</v>
      </c>
    </row>
    <row r="141" spans="2:10" x14ac:dyDescent="0.25">
      <c r="B141" s="40" t="s">
        <v>322</v>
      </c>
      <c r="C141" s="40" t="s">
        <v>359</v>
      </c>
      <c r="D141" s="40"/>
      <c r="E141" s="40" t="s">
        <v>291</v>
      </c>
      <c r="F141" s="40"/>
      <c r="G141" s="40" t="s">
        <v>597</v>
      </c>
      <c r="H141" s="39" t="s">
        <v>289</v>
      </c>
      <c r="I141" s="38">
        <v>2200</v>
      </c>
      <c r="J141" s="38">
        <v>193126.54</v>
      </c>
    </row>
    <row r="142" spans="2:10" x14ac:dyDescent="0.25">
      <c r="B142" s="40" t="s">
        <v>322</v>
      </c>
      <c r="C142" s="40" t="s">
        <v>359</v>
      </c>
      <c r="D142" s="40"/>
      <c r="E142" s="40" t="s">
        <v>291</v>
      </c>
      <c r="F142" s="40"/>
      <c r="G142" s="40" t="s">
        <v>374</v>
      </c>
      <c r="H142" s="39" t="s">
        <v>289</v>
      </c>
      <c r="I142" s="38">
        <v>215.69</v>
      </c>
      <c r="J142" s="38">
        <v>193342.23</v>
      </c>
    </row>
    <row r="143" spans="2:10" ht="23.25" x14ac:dyDescent="0.25">
      <c r="B143" s="40" t="s">
        <v>322</v>
      </c>
      <c r="C143" s="40" t="s">
        <v>678</v>
      </c>
      <c r="D143" s="40" t="s">
        <v>686</v>
      </c>
      <c r="E143" s="40" t="s">
        <v>291</v>
      </c>
      <c r="F143" s="40" t="s">
        <v>540</v>
      </c>
      <c r="G143" s="40"/>
      <c r="H143" s="40" t="s">
        <v>47</v>
      </c>
      <c r="I143" s="38">
        <v>-195</v>
      </c>
      <c r="J143" s="38">
        <v>193147.23</v>
      </c>
    </row>
    <row r="144" spans="2:10" ht="23.25" x14ac:dyDescent="0.25">
      <c r="B144" s="40" t="s">
        <v>322</v>
      </c>
      <c r="C144" s="40" t="s">
        <v>678</v>
      </c>
      <c r="D144" s="40" t="s">
        <v>687</v>
      </c>
      <c r="E144" s="40" t="s">
        <v>291</v>
      </c>
      <c r="F144" s="40" t="s">
        <v>434</v>
      </c>
      <c r="G144" s="40"/>
      <c r="H144" s="40" t="s">
        <v>47</v>
      </c>
      <c r="I144" s="38">
        <v>-2169.06</v>
      </c>
      <c r="J144" s="38">
        <v>190978.17</v>
      </c>
    </row>
    <row r="145" spans="2:10" x14ac:dyDescent="0.25">
      <c r="B145" s="40" t="s">
        <v>371</v>
      </c>
      <c r="C145" s="40" t="s">
        <v>306</v>
      </c>
      <c r="D145" s="40"/>
      <c r="E145" s="40" t="s">
        <v>291</v>
      </c>
      <c r="F145" s="40" t="s">
        <v>651</v>
      </c>
      <c r="G145" s="39" t="s">
        <v>650</v>
      </c>
      <c r="H145" s="40" t="s">
        <v>57</v>
      </c>
      <c r="I145" s="38">
        <v>-1469.7</v>
      </c>
      <c r="J145" s="38">
        <v>189508.47</v>
      </c>
    </row>
    <row r="146" spans="2:10" x14ac:dyDescent="0.25">
      <c r="B146" s="40" t="s">
        <v>371</v>
      </c>
      <c r="C146" s="40" t="s">
        <v>359</v>
      </c>
      <c r="D146" s="40"/>
      <c r="E146" s="40" t="s">
        <v>291</v>
      </c>
      <c r="F146" s="40"/>
      <c r="G146" s="40" t="s">
        <v>370</v>
      </c>
      <c r="H146" s="39" t="s">
        <v>289</v>
      </c>
      <c r="I146" s="38">
        <v>124.85</v>
      </c>
      <c r="J146" s="38">
        <v>189633.32</v>
      </c>
    </row>
    <row r="147" spans="2:10" x14ac:dyDescent="0.25">
      <c r="B147" s="40" t="s">
        <v>371</v>
      </c>
      <c r="C147" s="40" t="s">
        <v>359</v>
      </c>
      <c r="D147" s="40"/>
      <c r="E147" s="40" t="s">
        <v>291</v>
      </c>
      <c r="F147" s="40"/>
      <c r="G147" s="40" t="s">
        <v>372</v>
      </c>
      <c r="H147" s="39" t="s">
        <v>289</v>
      </c>
      <c r="I147" s="38">
        <v>1114.9000000000001</v>
      </c>
      <c r="J147" s="38">
        <v>190748.22</v>
      </c>
    </row>
    <row r="148" spans="2:10" ht="23.25" x14ac:dyDescent="0.25">
      <c r="B148" s="40" t="s">
        <v>368</v>
      </c>
      <c r="C148" s="40" t="s">
        <v>678</v>
      </c>
      <c r="D148" s="40" t="s">
        <v>679</v>
      </c>
      <c r="E148" s="40" t="s">
        <v>291</v>
      </c>
      <c r="F148" s="40" t="s">
        <v>341</v>
      </c>
      <c r="G148" s="40"/>
      <c r="H148" s="40" t="s">
        <v>47</v>
      </c>
      <c r="I148" s="38">
        <v>-1124.76</v>
      </c>
      <c r="J148" s="38">
        <v>189623.46</v>
      </c>
    </row>
    <row r="149" spans="2:10" x14ac:dyDescent="0.25">
      <c r="B149" s="40" t="s">
        <v>368</v>
      </c>
      <c r="C149" s="40" t="s">
        <v>359</v>
      </c>
      <c r="D149" s="40"/>
      <c r="E149" s="40" t="s">
        <v>291</v>
      </c>
      <c r="F149" s="40"/>
      <c r="G149" s="40" t="s">
        <v>369</v>
      </c>
      <c r="H149" s="39" t="s">
        <v>289</v>
      </c>
      <c r="I149" s="38">
        <v>116.37</v>
      </c>
      <c r="J149" s="38">
        <v>189739.83</v>
      </c>
    </row>
    <row r="150" spans="2:10" x14ac:dyDescent="0.25">
      <c r="B150" s="40" t="s">
        <v>368</v>
      </c>
      <c r="C150" s="40" t="s">
        <v>359</v>
      </c>
      <c r="D150" s="40"/>
      <c r="E150" s="40" t="s">
        <v>291</v>
      </c>
      <c r="F150" s="40" t="s">
        <v>537</v>
      </c>
      <c r="G150" s="40" t="s">
        <v>536</v>
      </c>
      <c r="H150" s="40" t="s">
        <v>162</v>
      </c>
      <c r="I150" s="38">
        <v>9.75</v>
      </c>
      <c r="J150" s="38">
        <v>189749.58</v>
      </c>
    </row>
    <row r="151" spans="2:10" x14ac:dyDescent="0.25">
      <c r="B151" s="40" t="s">
        <v>368</v>
      </c>
      <c r="C151" s="40" t="s">
        <v>306</v>
      </c>
      <c r="D151" s="40"/>
      <c r="E151" s="40" t="s">
        <v>291</v>
      </c>
      <c r="F151" s="40"/>
      <c r="G151" s="40" t="s">
        <v>538</v>
      </c>
      <c r="H151" s="40" t="s">
        <v>162</v>
      </c>
      <c r="I151" s="38">
        <v>-9.75</v>
      </c>
      <c r="J151" s="38">
        <v>189739.83</v>
      </c>
    </row>
    <row r="152" spans="2:10" x14ac:dyDescent="0.25">
      <c r="B152" s="40" t="s">
        <v>368</v>
      </c>
      <c r="C152" s="40" t="s">
        <v>678</v>
      </c>
      <c r="D152" s="40" t="s">
        <v>677</v>
      </c>
      <c r="E152" s="40" t="s">
        <v>291</v>
      </c>
      <c r="F152" s="40" t="s">
        <v>487</v>
      </c>
      <c r="G152" s="40"/>
      <c r="H152" s="40" t="s">
        <v>47</v>
      </c>
      <c r="I152" s="38">
        <v>-1282.5</v>
      </c>
      <c r="J152" s="38">
        <v>188457.33</v>
      </c>
    </row>
    <row r="153" spans="2:10" x14ac:dyDescent="0.25">
      <c r="B153" s="40" t="s">
        <v>368</v>
      </c>
      <c r="C153" s="40" t="s">
        <v>359</v>
      </c>
      <c r="D153" s="40"/>
      <c r="E153" s="40" t="s">
        <v>291</v>
      </c>
      <c r="F153" s="40"/>
      <c r="G153" s="40" t="s">
        <v>367</v>
      </c>
      <c r="H153" s="39" t="s">
        <v>289</v>
      </c>
      <c r="I153" s="38">
        <v>641.47</v>
      </c>
      <c r="J153" s="38">
        <v>189098.8</v>
      </c>
    </row>
    <row r="154" spans="2:10" x14ac:dyDescent="0.25">
      <c r="B154" s="40" t="s">
        <v>362</v>
      </c>
      <c r="C154" s="40" t="s">
        <v>359</v>
      </c>
      <c r="D154" s="40"/>
      <c r="E154" s="40" t="s">
        <v>291</v>
      </c>
      <c r="F154" s="40"/>
      <c r="G154" s="40" t="s">
        <v>366</v>
      </c>
      <c r="H154" s="39" t="s">
        <v>289</v>
      </c>
      <c r="I154" s="38">
        <v>331.97</v>
      </c>
      <c r="J154" s="38">
        <v>189430.77</v>
      </c>
    </row>
    <row r="155" spans="2:10" x14ac:dyDescent="0.25">
      <c r="B155" s="40" t="s">
        <v>362</v>
      </c>
      <c r="C155" s="40" t="s">
        <v>359</v>
      </c>
      <c r="D155" s="40"/>
      <c r="E155" s="40" t="s">
        <v>291</v>
      </c>
      <c r="F155" s="40"/>
      <c r="G155" s="40" t="s">
        <v>365</v>
      </c>
      <c r="H155" s="39" t="s">
        <v>289</v>
      </c>
      <c r="I155" s="38">
        <v>485.75</v>
      </c>
      <c r="J155" s="38">
        <v>189916.52</v>
      </c>
    </row>
    <row r="156" spans="2:10" x14ac:dyDescent="0.25">
      <c r="B156" s="40" t="s">
        <v>362</v>
      </c>
      <c r="C156" s="40" t="s">
        <v>359</v>
      </c>
      <c r="D156" s="40"/>
      <c r="E156" s="40" t="s">
        <v>291</v>
      </c>
      <c r="F156" s="40"/>
      <c r="G156" s="40" t="s">
        <v>363</v>
      </c>
      <c r="H156" s="39" t="s">
        <v>289</v>
      </c>
      <c r="I156" s="38">
        <v>363.99</v>
      </c>
      <c r="J156" s="38">
        <v>190280.51</v>
      </c>
    </row>
    <row r="157" spans="2:10" x14ac:dyDescent="0.25">
      <c r="B157" s="40" t="s">
        <v>362</v>
      </c>
      <c r="C157" s="40" t="s">
        <v>306</v>
      </c>
      <c r="D157" s="40"/>
      <c r="E157" s="40" t="s">
        <v>291</v>
      </c>
      <c r="F157" s="40" t="s">
        <v>481</v>
      </c>
      <c r="G157" s="40" t="s">
        <v>480</v>
      </c>
      <c r="H157" s="40" t="s">
        <v>669</v>
      </c>
      <c r="I157" s="38">
        <v>-15</v>
      </c>
      <c r="J157" s="38">
        <v>190265.51</v>
      </c>
    </row>
    <row r="158" spans="2:10" x14ac:dyDescent="0.25">
      <c r="B158" s="40" t="s">
        <v>362</v>
      </c>
      <c r="C158" s="40" t="s">
        <v>359</v>
      </c>
      <c r="D158" s="40"/>
      <c r="E158" s="40" t="s">
        <v>291</v>
      </c>
      <c r="F158" s="40" t="s">
        <v>639</v>
      </c>
      <c r="G158" s="40" t="s">
        <v>638</v>
      </c>
      <c r="H158" s="40" t="s">
        <v>831</v>
      </c>
      <c r="I158" s="38">
        <v>900</v>
      </c>
      <c r="J158" s="38">
        <v>191165.51</v>
      </c>
    </row>
    <row r="159" spans="2:10" x14ac:dyDescent="0.25">
      <c r="B159" s="40" t="s">
        <v>362</v>
      </c>
      <c r="C159" s="40" t="s">
        <v>359</v>
      </c>
      <c r="D159" s="40"/>
      <c r="E159" s="40" t="s">
        <v>291</v>
      </c>
      <c r="F159" s="40"/>
      <c r="G159" s="40" t="s">
        <v>361</v>
      </c>
      <c r="H159" s="39" t="s">
        <v>289</v>
      </c>
      <c r="I159" s="38">
        <v>816.19</v>
      </c>
      <c r="J159" s="38">
        <v>191981.7</v>
      </c>
    </row>
    <row r="160" spans="2:10" x14ac:dyDescent="0.25">
      <c r="B160" s="40" t="s">
        <v>362</v>
      </c>
      <c r="C160" s="40" t="s">
        <v>359</v>
      </c>
      <c r="D160" s="40"/>
      <c r="E160" s="40" t="s">
        <v>291</v>
      </c>
      <c r="F160" s="40"/>
      <c r="G160" s="40" t="s">
        <v>364</v>
      </c>
      <c r="H160" s="39" t="s">
        <v>289</v>
      </c>
      <c r="I160" s="38">
        <v>434.39</v>
      </c>
      <c r="J160" s="38">
        <v>192416.09</v>
      </c>
    </row>
    <row r="161" spans="1:10" x14ac:dyDescent="0.25">
      <c r="B161" s="40" t="s">
        <v>362</v>
      </c>
      <c r="C161" s="40" t="s">
        <v>822</v>
      </c>
      <c r="D161" s="40"/>
      <c r="E161" s="40" t="s">
        <v>291</v>
      </c>
      <c r="F161" s="40"/>
      <c r="G161" s="40"/>
      <c r="H161" s="40" t="s">
        <v>18</v>
      </c>
      <c r="I161" s="38">
        <v>2340</v>
      </c>
      <c r="J161" s="38">
        <v>194756.09</v>
      </c>
    </row>
    <row r="162" spans="1:10" x14ac:dyDescent="0.25">
      <c r="B162" s="40" t="s">
        <v>294</v>
      </c>
      <c r="C162" s="40" t="s">
        <v>359</v>
      </c>
      <c r="D162" s="40"/>
      <c r="E162" s="40" t="s">
        <v>291</v>
      </c>
      <c r="F162" s="40"/>
      <c r="G162" s="40" t="s">
        <v>360</v>
      </c>
      <c r="H162" s="39" t="s">
        <v>289</v>
      </c>
      <c r="I162" s="38">
        <v>265.85000000000002</v>
      </c>
      <c r="J162" s="38">
        <v>195021.94</v>
      </c>
    </row>
    <row r="163" spans="1:10" x14ac:dyDescent="0.25">
      <c r="B163" s="40" t="s">
        <v>294</v>
      </c>
      <c r="C163" s="40" t="s">
        <v>359</v>
      </c>
      <c r="D163" s="40"/>
      <c r="E163" s="40" t="s">
        <v>291</v>
      </c>
      <c r="F163" s="40"/>
      <c r="G163" s="40" t="s">
        <v>358</v>
      </c>
      <c r="H163" s="39" t="s">
        <v>289</v>
      </c>
      <c r="I163" s="38">
        <v>1144.55</v>
      </c>
      <c r="J163" s="38">
        <v>196166.49</v>
      </c>
    </row>
    <row r="164" spans="1:10" x14ac:dyDescent="0.25">
      <c r="A164" s="24" t="s">
        <v>830</v>
      </c>
      <c r="I164" s="37">
        <v>-29371.82</v>
      </c>
    </row>
    <row r="165" spans="1:10" x14ac:dyDescent="0.25">
      <c r="A165" s="24" t="s">
        <v>10</v>
      </c>
    </row>
    <row r="166" spans="1:10" x14ac:dyDescent="0.25">
      <c r="B166" s="40" t="s">
        <v>474</v>
      </c>
      <c r="J166" s="38">
        <v>5205.7700000000004</v>
      </c>
    </row>
    <row r="167" spans="1:10" x14ac:dyDescent="0.25">
      <c r="A167" s="24" t="s">
        <v>829</v>
      </c>
      <c r="I167" s="37"/>
    </row>
    <row r="168" spans="1:10" x14ac:dyDescent="0.25">
      <c r="A168" s="24" t="s">
        <v>11</v>
      </c>
    </row>
    <row r="169" spans="1:10" x14ac:dyDescent="0.25">
      <c r="B169" s="40" t="s">
        <v>474</v>
      </c>
      <c r="J169" s="38">
        <v>76377.69</v>
      </c>
    </row>
    <row r="170" spans="1:10" x14ac:dyDescent="0.25">
      <c r="A170" s="24" t="s">
        <v>828</v>
      </c>
      <c r="I170" s="37"/>
    </row>
    <row r="171" spans="1:10" x14ac:dyDescent="0.25">
      <c r="A171" s="24" t="s">
        <v>14</v>
      </c>
    </row>
    <row r="172" spans="1:10" x14ac:dyDescent="0.25">
      <c r="B172" s="40" t="s">
        <v>474</v>
      </c>
      <c r="J172" s="38">
        <v>9186.7900000000009</v>
      </c>
    </row>
    <row r="173" spans="1:10" x14ac:dyDescent="0.25">
      <c r="B173" s="40" t="s">
        <v>298</v>
      </c>
      <c r="C173" s="40" t="s">
        <v>611</v>
      </c>
      <c r="D173" s="40">
        <v>2443</v>
      </c>
      <c r="E173" s="40" t="s">
        <v>291</v>
      </c>
      <c r="F173" s="40" t="s">
        <v>610</v>
      </c>
      <c r="G173" s="40"/>
      <c r="H173" s="40" t="s">
        <v>824</v>
      </c>
      <c r="I173" s="38">
        <v>175</v>
      </c>
      <c r="J173" s="38">
        <v>9361.7900000000009</v>
      </c>
    </row>
    <row r="174" spans="1:10" x14ac:dyDescent="0.25">
      <c r="B174" s="40" t="s">
        <v>298</v>
      </c>
      <c r="C174" s="40" t="s">
        <v>611</v>
      </c>
      <c r="D174" s="40">
        <v>2444</v>
      </c>
      <c r="E174" s="40" t="s">
        <v>291</v>
      </c>
      <c r="F174" s="40" t="s">
        <v>610</v>
      </c>
      <c r="G174" s="40"/>
      <c r="H174" s="39" t="s">
        <v>289</v>
      </c>
      <c r="I174" s="38">
        <v>2280</v>
      </c>
      <c r="J174" s="38">
        <v>11641.79</v>
      </c>
    </row>
    <row r="175" spans="1:10" x14ac:dyDescent="0.25">
      <c r="B175" s="40" t="s">
        <v>298</v>
      </c>
      <c r="C175" s="40" t="s">
        <v>826</v>
      </c>
      <c r="D175" s="40">
        <v>1620</v>
      </c>
      <c r="E175" s="40" t="s">
        <v>291</v>
      </c>
      <c r="F175" s="40" t="s">
        <v>610</v>
      </c>
      <c r="G175" s="40"/>
      <c r="H175" s="40" t="s">
        <v>9</v>
      </c>
      <c r="I175" s="38">
        <v>-1425</v>
      </c>
      <c r="J175" s="38">
        <v>10216.790000000001</v>
      </c>
    </row>
    <row r="176" spans="1:10" x14ac:dyDescent="0.25">
      <c r="B176" s="40" t="s">
        <v>418</v>
      </c>
      <c r="C176" s="40" t="s">
        <v>611</v>
      </c>
      <c r="D176" s="40">
        <v>2445</v>
      </c>
      <c r="E176" s="40" t="s">
        <v>291</v>
      </c>
      <c r="F176" s="40" t="s">
        <v>610</v>
      </c>
      <c r="G176" s="40"/>
      <c r="H176" s="39" t="s">
        <v>289</v>
      </c>
      <c r="I176" s="38">
        <v>1080</v>
      </c>
      <c r="J176" s="38">
        <v>11296.79</v>
      </c>
    </row>
    <row r="177" spans="2:10" x14ac:dyDescent="0.25">
      <c r="B177" s="40" t="s">
        <v>418</v>
      </c>
      <c r="C177" s="40" t="s">
        <v>826</v>
      </c>
      <c r="D177" s="40">
        <v>1682</v>
      </c>
      <c r="E177" s="40" t="s">
        <v>291</v>
      </c>
      <c r="F177" s="40" t="s">
        <v>610</v>
      </c>
      <c r="G177" s="40"/>
      <c r="H177" s="40" t="s">
        <v>9</v>
      </c>
      <c r="I177" s="38">
        <v>-6300</v>
      </c>
      <c r="J177" s="38">
        <v>4996.79</v>
      </c>
    </row>
    <row r="178" spans="2:10" x14ac:dyDescent="0.25">
      <c r="B178" s="40" t="s">
        <v>415</v>
      </c>
      <c r="C178" s="40" t="s">
        <v>611</v>
      </c>
      <c r="D178" s="40">
        <v>2446</v>
      </c>
      <c r="E178" s="40" t="s">
        <v>291</v>
      </c>
      <c r="F178" s="40" t="s">
        <v>610</v>
      </c>
      <c r="G178" s="40"/>
      <c r="H178" s="39" t="s">
        <v>289</v>
      </c>
      <c r="I178" s="38">
        <v>6490</v>
      </c>
      <c r="J178" s="38">
        <v>11486.79</v>
      </c>
    </row>
    <row r="179" spans="2:10" x14ac:dyDescent="0.25">
      <c r="B179" s="40" t="s">
        <v>353</v>
      </c>
      <c r="C179" s="40" t="s">
        <v>611</v>
      </c>
      <c r="D179" s="40">
        <v>2448</v>
      </c>
      <c r="E179" s="40" t="s">
        <v>291</v>
      </c>
      <c r="F179" s="40" t="s">
        <v>610</v>
      </c>
      <c r="G179" s="40"/>
      <c r="H179" s="40" t="s">
        <v>824</v>
      </c>
      <c r="I179" s="38">
        <v>175</v>
      </c>
      <c r="J179" s="38">
        <v>11661.79</v>
      </c>
    </row>
    <row r="180" spans="2:10" x14ac:dyDescent="0.25">
      <c r="B180" s="40" t="s">
        <v>351</v>
      </c>
      <c r="C180" s="40" t="s">
        <v>611</v>
      </c>
      <c r="D180" s="40">
        <v>2449</v>
      </c>
      <c r="E180" s="40" t="s">
        <v>291</v>
      </c>
      <c r="F180" s="40" t="s">
        <v>610</v>
      </c>
      <c r="G180" s="40"/>
      <c r="H180" s="39" t="s">
        <v>289</v>
      </c>
      <c r="I180" s="38">
        <v>6050</v>
      </c>
      <c r="J180" s="38">
        <v>17711.79</v>
      </c>
    </row>
    <row r="181" spans="2:10" x14ac:dyDescent="0.25">
      <c r="B181" s="40" t="s">
        <v>351</v>
      </c>
      <c r="C181" s="40" t="s">
        <v>611</v>
      </c>
      <c r="D181" s="40">
        <v>2447</v>
      </c>
      <c r="E181" s="40" t="s">
        <v>291</v>
      </c>
      <c r="F181" s="40" t="s">
        <v>623</v>
      </c>
      <c r="G181" s="40"/>
      <c r="H181" s="40" t="s">
        <v>824</v>
      </c>
      <c r="I181" s="38">
        <v>310</v>
      </c>
      <c r="J181" s="38">
        <v>18021.79</v>
      </c>
    </row>
    <row r="182" spans="2:10" x14ac:dyDescent="0.25">
      <c r="B182" s="40" t="s">
        <v>315</v>
      </c>
      <c r="C182" s="40" t="s">
        <v>611</v>
      </c>
      <c r="D182" s="40">
        <v>2450</v>
      </c>
      <c r="E182" s="40" t="s">
        <v>291</v>
      </c>
      <c r="F182" s="40" t="s">
        <v>610</v>
      </c>
      <c r="G182" s="40"/>
      <c r="H182" s="39" t="s">
        <v>289</v>
      </c>
      <c r="I182" s="38">
        <v>6340</v>
      </c>
      <c r="J182" s="38">
        <v>24361.79</v>
      </c>
    </row>
    <row r="183" spans="2:10" x14ac:dyDescent="0.25">
      <c r="B183" s="40" t="s">
        <v>350</v>
      </c>
      <c r="C183" s="40" t="s">
        <v>826</v>
      </c>
      <c r="D183" s="40"/>
      <c r="E183" s="40" t="s">
        <v>291</v>
      </c>
      <c r="F183" s="40" t="s">
        <v>610</v>
      </c>
      <c r="G183" s="40"/>
      <c r="H183" s="40" t="s">
        <v>9</v>
      </c>
      <c r="I183" s="38">
        <v>-3625</v>
      </c>
      <c r="J183" s="38">
        <v>20736.79</v>
      </c>
    </row>
    <row r="184" spans="2:10" x14ac:dyDescent="0.25">
      <c r="B184" s="40" t="s">
        <v>350</v>
      </c>
      <c r="C184" s="40" t="s">
        <v>611</v>
      </c>
      <c r="D184" s="40">
        <v>2451</v>
      </c>
      <c r="E184" s="40" t="s">
        <v>291</v>
      </c>
      <c r="F184" s="40" t="s">
        <v>610</v>
      </c>
      <c r="G184" s="40"/>
      <c r="H184" s="40" t="s">
        <v>824</v>
      </c>
      <c r="I184" s="38">
        <v>900</v>
      </c>
      <c r="J184" s="38">
        <v>21636.79</v>
      </c>
    </row>
    <row r="185" spans="2:10" x14ac:dyDescent="0.25">
      <c r="B185" s="40" t="s">
        <v>346</v>
      </c>
      <c r="C185" s="40" t="s">
        <v>611</v>
      </c>
      <c r="D185" s="40">
        <v>2452</v>
      </c>
      <c r="E185" s="40" t="s">
        <v>291</v>
      </c>
      <c r="F185" s="40" t="s">
        <v>610</v>
      </c>
      <c r="G185" s="40"/>
      <c r="H185" s="40" t="s">
        <v>825</v>
      </c>
      <c r="I185" s="38">
        <v>450</v>
      </c>
      <c r="J185" s="38">
        <v>22086.79</v>
      </c>
    </row>
    <row r="186" spans="2:10" x14ac:dyDescent="0.25">
      <c r="B186" s="40" t="s">
        <v>345</v>
      </c>
      <c r="C186" s="40" t="s">
        <v>611</v>
      </c>
      <c r="D186" s="40">
        <v>2453</v>
      </c>
      <c r="E186" s="40" t="s">
        <v>291</v>
      </c>
      <c r="F186" s="40" t="s">
        <v>610</v>
      </c>
      <c r="G186" s="40"/>
      <c r="H186" s="40" t="s">
        <v>824</v>
      </c>
      <c r="I186" s="38">
        <v>450</v>
      </c>
      <c r="J186" s="38">
        <v>22536.79</v>
      </c>
    </row>
    <row r="187" spans="2:10" x14ac:dyDescent="0.25">
      <c r="B187" s="40" t="s">
        <v>313</v>
      </c>
      <c r="C187" s="40" t="s">
        <v>611</v>
      </c>
      <c r="D187" s="40">
        <v>2454</v>
      </c>
      <c r="E187" s="40" t="s">
        <v>291</v>
      </c>
      <c r="F187" s="40" t="s">
        <v>610</v>
      </c>
      <c r="G187" s="40"/>
      <c r="H187" s="40" t="s">
        <v>824</v>
      </c>
      <c r="I187" s="38">
        <v>900</v>
      </c>
      <c r="J187" s="38">
        <v>23436.79</v>
      </c>
    </row>
    <row r="188" spans="2:10" x14ac:dyDescent="0.25">
      <c r="B188" s="40" t="s">
        <v>477</v>
      </c>
      <c r="C188" s="40" t="s">
        <v>611</v>
      </c>
      <c r="D188" s="40">
        <v>2455</v>
      </c>
      <c r="E188" s="40" t="s">
        <v>291</v>
      </c>
      <c r="F188" s="40" t="s">
        <v>610</v>
      </c>
      <c r="G188" s="40"/>
      <c r="H188" s="40" t="s">
        <v>824</v>
      </c>
      <c r="I188" s="38">
        <v>175</v>
      </c>
      <c r="J188" s="38">
        <v>23611.79</v>
      </c>
    </row>
    <row r="189" spans="2:10" x14ac:dyDescent="0.25">
      <c r="B189" s="40" t="s">
        <v>339</v>
      </c>
      <c r="C189" s="40" t="s">
        <v>611</v>
      </c>
      <c r="D189" s="40">
        <v>2457</v>
      </c>
      <c r="E189" s="40" t="s">
        <v>291</v>
      </c>
      <c r="F189" s="40" t="s">
        <v>610</v>
      </c>
      <c r="G189" s="40"/>
      <c r="H189" s="39" t="s">
        <v>289</v>
      </c>
      <c r="I189" s="38">
        <v>550</v>
      </c>
      <c r="J189" s="38">
        <v>24161.79</v>
      </c>
    </row>
    <row r="190" spans="2:10" x14ac:dyDescent="0.25">
      <c r="B190" s="40" t="s">
        <v>339</v>
      </c>
      <c r="C190" s="40" t="s">
        <v>826</v>
      </c>
      <c r="D190" s="40">
        <v>1834</v>
      </c>
      <c r="E190" s="40" t="s">
        <v>291</v>
      </c>
      <c r="F190" s="40" t="s">
        <v>610</v>
      </c>
      <c r="G190" s="40"/>
      <c r="H190" s="40" t="s">
        <v>9</v>
      </c>
      <c r="I190" s="38">
        <v>-13645</v>
      </c>
      <c r="J190" s="38">
        <v>10516.79</v>
      </c>
    </row>
    <row r="191" spans="2:10" x14ac:dyDescent="0.25">
      <c r="B191" s="40" t="s">
        <v>337</v>
      </c>
      <c r="C191" s="40" t="s">
        <v>611</v>
      </c>
      <c r="D191" s="40">
        <v>2458</v>
      </c>
      <c r="E191" s="40" t="s">
        <v>291</v>
      </c>
      <c r="F191" s="40" t="s">
        <v>610</v>
      </c>
      <c r="G191" s="40"/>
      <c r="H191" s="40" t="s">
        <v>825</v>
      </c>
      <c r="I191" s="38">
        <v>450</v>
      </c>
      <c r="J191" s="38">
        <v>10966.79</v>
      </c>
    </row>
    <row r="192" spans="2:10" x14ac:dyDescent="0.25">
      <c r="B192" s="40" t="s">
        <v>337</v>
      </c>
      <c r="C192" s="40" t="s">
        <v>611</v>
      </c>
      <c r="D192" s="40">
        <v>2456</v>
      </c>
      <c r="E192" s="40" t="s">
        <v>291</v>
      </c>
      <c r="F192" s="40" t="s">
        <v>631</v>
      </c>
      <c r="G192" s="40"/>
      <c r="H192" s="40" t="s">
        <v>827</v>
      </c>
      <c r="I192" s="38">
        <v>133750</v>
      </c>
      <c r="J192" s="38">
        <v>144716.79</v>
      </c>
    </row>
    <row r="193" spans="1:10" x14ac:dyDescent="0.25">
      <c r="B193" s="40" t="s">
        <v>329</v>
      </c>
      <c r="C193" s="40" t="s">
        <v>611</v>
      </c>
      <c r="D193" s="40">
        <v>2459</v>
      </c>
      <c r="E193" s="40" t="s">
        <v>291</v>
      </c>
      <c r="F193" s="40" t="s">
        <v>623</v>
      </c>
      <c r="G193" s="40"/>
      <c r="H193" s="40" t="s">
        <v>824</v>
      </c>
      <c r="I193" s="38">
        <v>310</v>
      </c>
      <c r="J193" s="38">
        <v>145026.79</v>
      </c>
    </row>
    <row r="194" spans="1:10" x14ac:dyDescent="0.25">
      <c r="B194" s="40" t="s">
        <v>329</v>
      </c>
      <c r="C194" s="40" t="s">
        <v>611</v>
      </c>
      <c r="D194" s="40">
        <v>2460</v>
      </c>
      <c r="E194" s="40" t="s">
        <v>291</v>
      </c>
      <c r="F194" s="40" t="s">
        <v>610</v>
      </c>
      <c r="G194" s="40"/>
      <c r="H194" s="39" t="s">
        <v>289</v>
      </c>
      <c r="I194" s="38">
        <v>2210</v>
      </c>
      <c r="J194" s="38">
        <v>147236.79</v>
      </c>
    </row>
    <row r="195" spans="1:10" x14ac:dyDescent="0.25">
      <c r="B195" s="40" t="s">
        <v>307</v>
      </c>
      <c r="C195" s="40" t="s">
        <v>611</v>
      </c>
      <c r="D195" s="40">
        <v>2461</v>
      </c>
      <c r="E195" s="40" t="s">
        <v>291</v>
      </c>
      <c r="F195" s="40" t="s">
        <v>610</v>
      </c>
      <c r="G195" s="40"/>
      <c r="H195" s="40" t="s">
        <v>824</v>
      </c>
      <c r="I195" s="38">
        <v>175</v>
      </c>
      <c r="J195" s="38">
        <v>147411.79</v>
      </c>
    </row>
    <row r="196" spans="1:10" x14ac:dyDescent="0.25">
      <c r="B196" s="40" t="s">
        <v>322</v>
      </c>
      <c r="C196" s="40" t="s">
        <v>826</v>
      </c>
      <c r="D196" s="40">
        <v>1918</v>
      </c>
      <c r="E196" s="40" t="s">
        <v>291</v>
      </c>
      <c r="F196" s="40" t="s">
        <v>610</v>
      </c>
      <c r="G196" s="40"/>
      <c r="H196" s="40" t="s">
        <v>9</v>
      </c>
      <c r="I196" s="38">
        <v>-9190</v>
      </c>
      <c r="J196" s="38">
        <v>138221.79</v>
      </c>
    </row>
    <row r="197" spans="1:10" x14ac:dyDescent="0.25">
      <c r="B197" s="40" t="s">
        <v>322</v>
      </c>
      <c r="C197" s="40" t="s">
        <v>611</v>
      </c>
      <c r="D197" s="40">
        <v>2463</v>
      </c>
      <c r="E197" s="40" t="s">
        <v>291</v>
      </c>
      <c r="F197" s="40" t="s">
        <v>610</v>
      </c>
      <c r="G197" s="40"/>
      <c r="H197" s="39" t="s">
        <v>289</v>
      </c>
      <c r="I197" s="38">
        <v>5440</v>
      </c>
      <c r="J197" s="38">
        <v>143661.79</v>
      </c>
    </row>
    <row r="198" spans="1:10" x14ac:dyDescent="0.25">
      <c r="B198" s="40" t="s">
        <v>322</v>
      </c>
      <c r="C198" s="40" t="s">
        <v>611</v>
      </c>
      <c r="D198" s="40">
        <v>2462</v>
      </c>
      <c r="E198" s="40" t="s">
        <v>291</v>
      </c>
      <c r="F198" s="40" t="s">
        <v>610</v>
      </c>
      <c r="G198" s="40"/>
      <c r="H198" s="39" t="s">
        <v>289</v>
      </c>
      <c r="I198" s="38">
        <v>6610</v>
      </c>
      <c r="J198" s="38">
        <v>150271.79</v>
      </c>
    </row>
    <row r="199" spans="1:10" x14ac:dyDescent="0.25">
      <c r="B199" s="40" t="s">
        <v>371</v>
      </c>
      <c r="C199" s="40" t="s">
        <v>611</v>
      </c>
      <c r="D199" s="40">
        <v>2464</v>
      </c>
      <c r="E199" s="40" t="s">
        <v>291</v>
      </c>
      <c r="F199" s="40" t="s">
        <v>610</v>
      </c>
      <c r="G199" s="40"/>
      <c r="H199" s="40" t="s">
        <v>825</v>
      </c>
      <c r="I199" s="38">
        <v>420</v>
      </c>
      <c r="J199" s="38">
        <v>150691.79</v>
      </c>
    </row>
    <row r="200" spans="1:10" x14ac:dyDescent="0.25">
      <c r="B200" s="40" t="s">
        <v>613</v>
      </c>
      <c r="C200" s="40" t="s">
        <v>611</v>
      </c>
      <c r="D200" s="40">
        <v>2465</v>
      </c>
      <c r="E200" s="40" t="s">
        <v>291</v>
      </c>
      <c r="F200" s="40" t="s">
        <v>610</v>
      </c>
      <c r="G200" s="40"/>
      <c r="H200" s="39" t="s">
        <v>289</v>
      </c>
      <c r="I200" s="38">
        <v>5860</v>
      </c>
      <c r="J200" s="38">
        <v>156551.79</v>
      </c>
    </row>
    <row r="201" spans="1:10" x14ac:dyDescent="0.25">
      <c r="B201" s="40" t="s">
        <v>612</v>
      </c>
      <c r="C201" s="40" t="s">
        <v>611</v>
      </c>
      <c r="D201" s="40">
        <v>2466</v>
      </c>
      <c r="E201" s="40" t="s">
        <v>291</v>
      </c>
      <c r="F201" s="40" t="s">
        <v>610</v>
      </c>
      <c r="G201" s="40"/>
      <c r="H201" s="39" t="s">
        <v>289</v>
      </c>
      <c r="I201" s="38">
        <v>4990</v>
      </c>
      <c r="J201" s="38">
        <v>161541.79</v>
      </c>
    </row>
    <row r="202" spans="1:10" x14ac:dyDescent="0.25">
      <c r="B202" s="40" t="s">
        <v>294</v>
      </c>
      <c r="C202" s="40" t="s">
        <v>611</v>
      </c>
      <c r="D202" s="40">
        <v>2467</v>
      </c>
      <c r="E202" s="40" t="s">
        <v>291</v>
      </c>
      <c r="F202" s="40" t="s">
        <v>610</v>
      </c>
      <c r="G202" s="40"/>
      <c r="H202" s="40" t="s">
        <v>824</v>
      </c>
      <c r="I202" s="38">
        <v>450</v>
      </c>
      <c r="J202" s="38">
        <v>161991.79</v>
      </c>
    </row>
    <row r="203" spans="1:10" x14ac:dyDescent="0.25">
      <c r="A203" s="24" t="s">
        <v>823</v>
      </c>
      <c r="I203" s="37">
        <v>152805</v>
      </c>
    </row>
    <row r="204" spans="1:10" x14ac:dyDescent="0.25">
      <c r="A204" s="24" t="s">
        <v>18</v>
      </c>
    </row>
    <row r="205" spans="1:10" x14ac:dyDescent="0.25">
      <c r="B205" s="40" t="s">
        <v>474</v>
      </c>
      <c r="J205" s="38">
        <v>14232.97</v>
      </c>
    </row>
    <row r="206" spans="1:10" x14ac:dyDescent="0.25">
      <c r="B206" s="40" t="s">
        <v>362</v>
      </c>
      <c r="C206" s="40" t="s">
        <v>822</v>
      </c>
      <c r="D206" s="40"/>
      <c r="E206" s="40" t="s">
        <v>291</v>
      </c>
      <c r="F206" s="40"/>
      <c r="G206" s="40"/>
      <c r="H206" s="40" t="s">
        <v>9</v>
      </c>
      <c r="I206" s="38">
        <v>-2340</v>
      </c>
      <c r="J206" s="38">
        <v>11892.97</v>
      </c>
    </row>
    <row r="207" spans="1:10" x14ac:dyDescent="0.25">
      <c r="A207" s="24" t="s">
        <v>821</v>
      </c>
      <c r="I207" s="37">
        <v>-2340</v>
      </c>
    </row>
    <row r="208" spans="1:10" x14ac:dyDescent="0.25">
      <c r="A208" s="24" t="s">
        <v>19</v>
      </c>
    </row>
    <row r="209" spans="1:10" x14ac:dyDescent="0.25">
      <c r="B209" s="40" t="s">
        <v>474</v>
      </c>
      <c r="J209" s="38">
        <v>11881.51</v>
      </c>
    </row>
    <row r="210" spans="1:10" x14ac:dyDescent="0.25">
      <c r="A210" s="24" t="s">
        <v>820</v>
      </c>
      <c r="I210" s="37"/>
    </row>
    <row r="211" spans="1:10" x14ac:dyDescent="0.25">
      <c r="A211" s="24" t="s">
        <v>20</v>
      </c>
    </row>
    <row r="212" spans="1:10" x14ac:dyDescent="0.25">
      <c r="B212" s="40" t="s">
        <v>474</v>
      </c>
      <c r="J212" s="38">
        <v>711.65</v>
      </c>
    </row>
    <row r="213" spans="1:10" x14ac:dyDescent="0.25">
      <c r="A213" s="24" t="s">
        <v>819</v>
      </c>
      <c r="I213" s="37"/>
    </row>
    <row r="214" spans="1:10" x14ac:dyDescent="0.25">
      <c r="A214" s="24" t="s">
        <v>29</v>
      </c>
    </row>
    <row r="215" spans="1:10" x14ac:dyDescent="0.25">
      <c r="B215" s="40" t="s">
        <v>474</v>
      </c>
      <c r="J215" s="38">
        <v>74227</v>
      </c>
    </row>
    <row r="216" spans="1:10" x14ac:dyDescent="0.25">
      <c r="A216" s="24" t="s">
        <v>818</v>
      </c>
      <c r="I216" s="37"/>
    </row>
    <row r="217" spans="1:10" x14ac:dyDescent="0.25">
      <c r="A217" s="24" t="s">
        <v>30</v>
      </c>
    </row>
    <row r="218" spans="1:10" x14ac:dyDescent="0.25">
      <c r="B218" s="40" t="s">
        <v>474</v>
      </c>
      <c r="J218" s="38">
        <v>52133.8</v>
      </c>
    </row>
    <row r="219" spans="1:10" x14ac:dyDescent="0.25">
      <c r="A219" s="24" t="s">
        <v>817</v>
      </c>
      <c r="I219" s="37" t="s">
        <v>299</v>
      </c>
    </row>
    <row r="220" spans="1:10" x14ac:dyDescent="0.25">
      <c r="A220" s="24" t="s">
        <v>816</v>
      </c>
    </row>
    <row r="221" spans="1:10" x14ac:dyDescent="0.25">
      <c r="B221" s="40" t="s">
        <v>301</v>
      </c>
      <c r="J221" s="38">
        <v>127839.64</v>
      </c>
    </row>
    <row r="222" spans="1:10" x14ac:dyDescent="0.25">
      <c r="A222" s="24" t="s">
        <v>815</v>
      </c>
      <c r="I222" s="37" t="s">
        <v>299</v>
      </c>
    </row>
    <row r="223" spans="1:10" x14ac:dyDescent="0.25">
      <c r="A223" s="24" t="s">
        <v>814</v>
      </c>
    </row>
    <row r="224" spans="1:10" x14ac:dyDescent="0.25">
      <c r="B224" s="40" t="s">
        <v>301</v>
      </c>
      <c r="J224" s="38">
        <v>22684.639999999999</v>
      </c>
    </row>
    <row r="225" spans="1:10" x14ac:dyDescent="0.25">
      <c r="A225" s="24" t="s">
        <v>813</v>
      </c>
      <c r="I225" s="37" t="s">
        <v>299</v>
      </c>
    </row>
    <row r="226" spans="1:10" x14ac:dyDescent="0.25">
      <c r="A226" s="24" t="s">
        <v>812</v>
      </c>
    </row>
    <row r="227" spans="1:10" x14ac:dyDescent="0.25">
      <c r="B227" s="40" t="s">
        <v>301</v>
      </c>
      <c r="J227" s="38">
        <v>-127839.64</v>
      </c>
    </row>
    <row r="228" spans="1:10" x14ac:dyDescent="0.25">
      <c r="A228" s="24" t="s">
        <v>811</v>
      </c>
      <c r="I228" s="37" t="s">
        <v>299</v>
      </c>
    </row>
    <row r="229" spans="1:10" x14ac:dyDescent="0.25">
      <c r="A229" s="24" t="s">
        <v>810</v>
      </c>
    </row>
    <row r="230" spans="1:10" x14ac:dyDescent="0.25">
      <c r="B230" s="40" t="s">
        <v>301</v>
      </c>
      <c r="J230" s="38">
        <v>-20945.580000000002</v>
      </c>
    </row>
    <row r="231" spans="1:10" x14ac:dyDescent="0.25">
      <c r="A231" s="24" t="s">
        <v>809</v>
      </c>
      <c r="I231" s="37" t="s">
        <v>299</v>
      </c>
    </row>
    <row r="232" spans="1:10" x14ac:dyDescent="0.25">
      <c r="A232" s="24" t="s">
        <v>808</v>
      </c>
    </row>
    <row r="233" spans="1:10" x14ac:dyDescent="0.25">
      <c r="B233" s="40" t="s">
        <v>301</v>
      </c>
      <c r="J233" s="38">
        <v>-44233.8</v>
      </c>
    </row>
    <row r="234" spans="1:10" x14ac:dyDescent="0.25">
      <c r="A234" s="24" t="s">
        <v>807</v>
      </c>
      <c r="I234" s="37" t="s">
        <v>299</v>
      </c>
    </row>
    <row r="235" spans="1:10" x14ac:dyDescent="0.25">
      <c r="A235" s="24" t="s">
        <v>806</v>
      </c>
      <c r="I235" s="37"/>
    </row>
    <row r="236" spans="1:10" x14ac:dyDescent="0.25">
      <c r="A236" s="24" t="s">
        <v>39</v>
      </c>
    </row>
    <row r="237" spans="1:10" x14ac:dyDescent="0.25">
      <c r="B237" s="40" t="s">
        <v>474</v>
      </c>
      <c r="J237" s="38">
        <v>1550506</v>
      </c>
    </row>
    <row r="238" spans="1:10" x14ac:dyDescent="0.25">
      <c r="A238" s="24" t="s">
        <v>805</v>
      </c>
      <c r="I238" s="37"/>
    </row>
    <row r="239" spans="1:10" x14ac:dyDescent="0.25">
      <c r="A239" s="24" t="s">
        <v>47</v>
      </c>
    </row>
    <row r="240" spans="1:10" x14ac:dyDescent="0.25">
      <c r="B240" s="40" t="s">
        <v>474</v>
      </c>
      <c r="J240" s="38">
        <v>1437.8</v>
      </c>
    </row>
    <row r="241" spans="2:10" ht="23.25" x14ac:dyDescent="0.25">
      <c r="B241" s="40" t="s">
        <v>298</v>
      </c>
      <c r="C241" s="40" t="s">
        <v>678</v>
      </c>
      <c r="D241" s="40" t="s">
        <v>804</v>
      </c>
      <c r="E241" s="40" t="s">
        <v>291</v>
      </c>
      <c r="F241" s="40" t="s">
        <v>803</v>
      </c>
      <c r="G241" s="40"/>
      <c r="H241" s="40" t="s">
        <v>9</v>
      </c>
      <c r="I241" s="38">
        <v>-1000</v>
      </c>
      <c r="J241" s="38">
        <v>437.8</v>
      </c>
    </row>
    <row r="242" spans="2:10" x14ac:dyDescent="0.25">
      <c r="B242" s="40" t="s">
        <v>298</v>
      </c>
      <c r="C242" s="40" t="s">
        <v>678</v>
      </c>
      <c r="D242" s="40" t="s">
        <v>802</v>
      </c>
      <c r="E242" s="40" t="s">
        <v>291</v>
      </c>
      <c r="F242" s="40" t="s">
        <v>396</v>
      </c>
      <c r="G242" s="40"/>
      <c r="H242" s="40" t="s">
        <v>9</v>
      </c>
      <c r="I242" s="38">
        <v>-64.48</v>
      </c>
      <c r="J242" s="38">
        <v>373.32</v>
      </c>
    </row>
    <row r="243" spans="2:10" ht="34.5" x14ac:dyDescent="0.25">
      <c r="B243" s="40" t="s">
        <v>298</v>
      </c>
      <c r="C243" s="40" t="s">
        <v>325</v>
      </c>
      <c r="D243" s="40">
        <v>2009020494</v>
      </c>
      <c r="E243" s="40" t="s">
        <v>291</v>
      </c>
      <c r="F243" s="40" t="s">
        <v>468</v>
      </c>
      <c r="G243" s="40" t="s">
        <v>801</v>
      </c>
      <c r="H243" s="40" t="s">
        <v>800</v>
      </c>
      <c r="I243" s="38">
        <v>2767</v>
      </c>
      <c r="J243" s="38">
        <v>3140.32</v>
      </c>
    </row>
    <row r="244" spans="2:10" ht="34.5" x14ac:dyDescent="0.25">
      <c r="B244" s="40" t="s">
        <v>298</v>
      </c>
      <c r="C244" s="40" t="s">
        <v>325</v>
      </c>
      <c r="D244" s="40">
        <v>1743</v>
      </c>
      <c r="E244" s="40" t="s">
        <v>291</v>
      </c>
      <c r="F244" s="40" t="s">
        <v>458</v>
      </c>
      <c r="G244" s="40" t="s">
        <v>799</v>
      </c>
      <c r="H244" s="40" t="s">
        <v>703</v>
      </c>
      <c r="I244" s="38">
        <v>1800</v>
      </c>
      <c r="J244" s="38">
        <v>4940.32</v>
      </c>
    </row>
    <row r="245" spans="2:10" ht="23.25" x14ac:dyDescent="0.25">
      <c r="B245" s="40" t="s">
        <v>298</v>
      </c>
      <c r="C245" s="40" t="s">
        <v>678</v>
      </c>
      <c r="D245" s="40" t="s">
        <v>798</v>
      </c>
      <c r="E245" s="40" t="s">
        <v>291</v>
      </c>
      <c r="F245" s="40" t="s">
        <v>797</v>
      </c>
      <c r="G245" s="40"/>
      <c r="H245" s="40" t="s">
        <v>9</v>
      </c>
      <c r="I245" s="38">
        <v>-19.420000000000002</v>
      </c>
      <c r="J245" s="38">
        <v>4920.8999999999996</v>
      </c>
    </row>
    <row r="246" spans="2:10" ht="34.5" x14ac:dyDescent="0.25">
      <c r="B246" s="40" t="s">
        <v>318</v>
      </c>
      <c r="C246" s="40" t="s">
        <v>325</v>
      </c>
      <c r="D246" s="40">
        <v>20260602</v>
      </c>
      <c r="E246" s="40" t="s">
        <v>291</v>
      </c>
      <c r="F246" s="40" t="s">
        <v>562</v>
      </c>
      <c r="G246" s="40" t="s">
        <v>796</v>
      </c>
      <c r="H246" s="40" t="s">
        <v>162</v>
      </c>
      <c r="I246" s="38">
        <v>3.22</v>
      </c>
      <c r="J246" s="38">
        <v>4924.12</v>
      </c>
    </row>
    <row r="247" spans="2:10" ht="34.5" x14ac:dyDescent="0.25">
      <c r="B247" s="40" t="s">
        <v>318</v>
      </c>
      <c r="C247" s="40" t="s">
        <v>325</v>
      </c>
      <c r="D247" s="40">
        <v>20260602</v>
      </c>
      <c r="E247" s="40" t="s">
        <v>291</v>
      </c>
      <c r="F247" s="40" t="s">
        <v>554</v>
      </c>
      <c r="G247" s="40" t="s">
        <v>795</v>
      </c>
      <c r="H247" s="40" t="s">
        <v>162</v>
      </c>
      <c r="I247" s="38">
        <v>7.8</v>
      </c>
      <c r="J247" s="38">
        <v>4931.92</v>
      </c>
    </row>
    <row r="248" spans="2:10" ht="34.5" x14ac:dyDescent="0.25">
      <c r="B248" s="40" t="s">
        <v>318</v>
      </c>
      <c r="C248" s="40" t="s">
        <v>325</v>
      </c>
      <c r="D248" s="40">
        <v>20260602</v>
      </c>
      <c r="E248" s="40" t="s">
        <v>291</v>
      </c>
      <c r="F248" s="40" t="s">
        <v>540</v>
      </c>
      <c r="G248" s="40" t="s">
        <v>794</v>
      </c>
      <c r="H248" s="40" t="s">
        <v>162</v>
      </c>
      <c r="I248" s="38">
        <v>16.25</v>
      </c>
      <c r="J248" s="38">
        <v>4948.17</v>
      </c>
    </row>
    <row r="249" spans="2:10" ht="34.5" x14ac:dyDescent="0.25">
      <c r="B249" s="40" t="s">
        <v>318</v>
      </c>
      <c r="C249" s="40" t="s">
        <v>325</v>
      </c>
      <c r="D249" s="40">
        <v>20260602</v>
      </c>
      <c r="E249" s="40" t="s">
        <v>291</v>
      </c>
      <c r="F249" s="40" t="s">
        <v>595</v>
      </c>
      <c r="G249" s="40" t="s">
        <v>793</v>
      </c>
      <c r="H249" s="40" t="s">
        <v>162</v>
      </c>
      <c r="I249" s="38">
        <v>42.25</v>
      </c>
      <c r="J249" s="38">
        <v>4990.42</v>
      </c>
    </row>
    <row r="250" spans="2:10" ht="34.5" x14ac:dyDescent="0.25">
      <c r="B250" s="40" t="s">
        <v>318</v>
      </c>
      <c r="C250" s="40" t="s">
        <v>325</v>
      </c>
      <c r="D250" s="40">
        <v>20260602</v>
      </c>
      <c r="E250" s="40" t="s">
        <v>291</v>
      </c>
      <c r="F250" s="40" t="s">
        <v>566</v>
      </c>
      <c r="G250" s="40" t="s">
        <v>792</v>
      </c>
      <c r="H250" s="40" t="s">
        <v>162</v>
      </c>
      <c r="I250" s="38">
        <v>22.75</v>
      </c>
      <c r="J250" s="38">
        <v>5013.17</v>
      </c>
    </row>
    <row r="251" spans="2:10" ht="34.5" x14ac:dyDescent="0.25">
      <c r="B251" s="40" t="s">
        <v>318</v>
      </c>
      <c r="C251" s="40" t="s">
        <v>325</v>
      </c>
      <c r="D251" s="40" t="s">
        <v>591</v>
      </c>
      <c r="E251" s="40" t="s">
        <v>291</v>
      </c>
      <c r="F251" s="40" t="s">
        <v>566</v>
      </c>
      <c r="G251" s="40" t="s">
        <v>791</v>
      </c>
      <c r="H251" s="40" t="s">
        <v>162</v>
      </c>
      <c r="I251" s="38">
        <v>3.25</v>
      </c>
      <c r="J251" s="38">
        <v>5016.42</v>
      </c>
    </row>
    <row r="252" spans="2:10" ht="34.5" x14ac:dyDescent="0.25">
      <c r="B252" s="40" t="s">
        <v>318</v>
      </c>
      <c r="C252" s="40" t="s">
        <v>325</v>
      </c>
      <c r="D252" s="40" t="s">
        <v>588</v>
      </c>
      <c r="E252" s="40" t="s">
        <v>291</v>
      </c>
      <c r="F252" s="40" t="s">
        <v>566</v>
      </c>
      <c r="G252" s="40" t="s">
        <v>790</v>
      </c>
      <c r="H252" s="40" t="s">
        <v>162</v>
      </c>
      <c r="I252" s="38">
        <v>6.5</v>
      </c>
      <c r="J252" s="38">
        <v>5022.92</v>
      </c>
    </row>
    <row r="253" spans="2:10" ht="34.5" x14ac:dyDescent="0.25">
      <c r="B253" s="40" t="s">
        <v>318</v>
      </c>
      <c r="C253" s="40" t="s">
        <v>325</v>
      </c>
      <c r="D253" s="40" t="s">
        <v>592</v>
      </c>
      <c r="E253" s="40" t="s">
        <v>291</v>
      </c>
      <c r="F253" s="40" t="s">
        <v>566</v>
      </c>
      <c r="G253" s="40" t="s">
        <v>789</v>
      </c>
      <c r="H253" s="40" t="s">
        <v>162</v>
      </c>
      <c r="I253" s="38">
        <v>3.25</v>
      </c>
      <c r="J253" s="38">
        <v>5026.17</v>
      </c>
    </row>
    <row r="254" spans="2:10" x14ac:dyDescent="0.25">
      <c r="B254" s="40" t="s">
        <v>418</v>
      </c>
      <c r="C254" s="40" t="s">
        <v>678</v>
      </c>
      <c r="D254" s="40" t="s">
        <v>788</v>
      </c>
      <c r="E254" s="40" t="s">
        <v>291</v>
      </c>
      <c r="F254" s="40" t="s">
        <v>566</v>
      </c>
      <c r="G254" s="40"/>
      <c r="H254" s="40" t="s">
        <v>9</v>
      </c>
      <c r="I254" s="38">
        <v>-3.25</v>
      </c>
      <c r="J254" s="38">
        <v>5022.92</v>
      </c>
    </row>
    <row r="255" spans="2:10" ht="34.5" x14ac:dyDescent="0.25">
      <c r="B255" s="40" t="s">
        <v>418</v>
      </c>
      <c r="C255" s="40" t="s">
        <v>325</v>
      </c>
      <c r="D255" s="40" t="s">
        <v>576</v>
      </c>
      <c r="E255" s="40" t="s">
        <v>291</v>
      </c>
      <c r="F255" s="40" t="s">
        <v>566</v>
      </c>
      <c r="G255" s="40" t="s">
        <v>787</v>
      </c>
      <c r="H255" s="39" t="s">
        <v>289</v>
      </c>
      <c r="I255" s="38">
        <v>23.4</v>
      </c>
      <c r="J255" s="38">
        <v>5046.32</v>
      </c>
    </row>
    <row r="256" spans="2:10" ht="34.5" x14ac:dyDescent="0.25">
      <c r="B256" s="40" t="s">
        <v>418</v>
      </c>
      <c r="C256" s="40" t="s">
        <v>325</v>
      </c>
      <c r="D256" s="40">
        <v>130886</v>
      </c>
      <c r="E256" s="40" t="s">
        <v>291</v>
      </c>
      <c r="F256" s="40" t="s">
        <v>497</v>
      </c>
      <c r="G256" s="40" t="s">
        <v>786</v>
      </c>
      <c r="H256" s="40" t="s">
        <v>785</v>
      </c>
      <c r="I256" s="38">
        <v>17050</v>
      </c>
      <c r="J256" s="38">
        <v>22096.32</v>
      </c>
    </row>
    <row r="257" spans="2:10" ht="34.5" x14ac:dyDescent="0.25">
      <c r="B257" s="40" t="s">
        <v>418</v>
      </c>
      <c r="C257" s="40" t="s">
        <v>325</v>
      </c>
      <c r="D257" s="40">
        <v>20260603</v>
      </c>
      <c r="E257" s="40" t="s">
        <v>291</v>
      </c>
      <c r="F257" s="40" t="s">
        <v>543</v>
      </c>
      <c r="G257" s="40" t="s">
        <v>784</v>
      </c>
      <c r="H257" s="40" t="s">
        <v>162</v>
      </c>
      <c r="I257" s="38">
        <v>3.25</v>
      </c>
      <c r="J257" s="38">
        <v>22099.57</v>
      </c>
    </row>
    <row r="258" spans="2:10" ht="34.5" x14ac:dyDescent="0.25">
      <c r="B258" s="40" t="s">
        <v>418</v>
      </c>
      <c r="C258" s="40" t="s">
        <v>325</v>
      </c>
      <c r="D258" s="40" t="s">
        <v>574</v>
      </c>
      <c r="E258" s="40" t="s">
        <v>291</v>
      </c>
      <c r="F258" s="40" t="s">
        <v>557</v>
      </c>
      <c r="G258" s="40" t="s">
        <v>783</v>
      </c>
      <c r="H258" s="39" t="s">
        <v>289</v>
      </c>
      <c r="I258" s="38">
        <v>87.75</v>
      </c>
      <c r="J258" s="38">
        <v>22187.32</v>
      </c>
    </row>
    <row r="259" spans="2:10" ht="34.5" x14ac:dyDescent="0.25">
      <c r="B259" s="40" t="s">
        <v>418</v>
      </c>
      <c r="C259" s="40" t="s">
        <v>325</v>
      </c>
      <c r="D259" s="40">
        <v>20260603</v>
      </c>
      <c r="E259" s="40" t="s">
        <v>291</v>
      </c>
      <c r="F259" s="40" t="s">
        <v>558</v>
      </c>
      <c r="G259" s="40" t="s">
        <v>782</v>
      </c>
      <c r="H259" s="40" t="s">
        <v>162</v>
      </c>
      <c r="I259" s="38">
        <v>94.25</v>
      </c>
      <c r="J259" s="38">
        <v>22281.57</v>
      </c>
    </row>
    <row r="260" spans="2:10" ht="34.5" x14ac:dyDescent="0.25">
      <c r="B260" s="40" t="s">
        <v>418</v>
      </c>
      <c r="C260" s="40" t="s">
        <v>325</v>
      </c>
      <c r="D260" s="40">
        <v>20260603</v>
      </c>
      <c r="E260" s="40" t="s">
        <v>291</v>
      </c>
      <c r="F260" s="40" t="s">
        <v>540</v>
      </c>
      <c r="G260" s="40" t="s">
        <v>781</v>
      </c>
      <c r="H260" s="40" t="s">
        <v>162</v>
      </c>
      <c r="I260" s="38">
        <v>113.75</v>
      </c>
      <c r="J260" s="38">
        <v>22395.32</v>
      </c>
    </row>
    <row r="261" spans="2:10" ht="34.5" x14ac:dyDescent="0.25">
      <c r="B261" s="40" t="s">
        <v>418</v>
      </c>
      <c r="C261" s="40" t="s">
        <v>325</v>
      </c>
      <c r="D261" s="40">
        <v>20260603</v>
      </c>
      <c r="E261" s="40" t="s">
        <v>291</v>
      </c>
      <c r="F261" s="40" t="s">
        <v>542</v>
      </c>
      <c r="G261" s="40" t="s">
        <v>780</v>
      </c>
      <c r="H261" s="40" t="s">
        <v>162</v>
      </c>
      <c r="I261" s="38">
        <v>71.5</v>
      </c>
      <c r="J261" s="38">
        <v>22466.82</v>
      </c>
    </row>
    <row r="262" spans="2:10" ht="34.5" x14ac:dyDescent="0.25">
      <c r="B262" s="40" t="s">
        <v>418</v>
      </c>
      <c r="C262" s="40" t="s">
        <v>325</v>
      </c>
      <c r="D262" s="40">
        <v>20260603</v>
      </c>
      <c r="E262" s="40" t="s">
        <v>291</v>
      </c>
      <c r="F262" s="40" t="s">
        <v>544</v>
      </c>
      <c r="G262" s="40" t="s">
        <v>779</v>
      </c>
      <c r="H262" s="40" t="s">
        <v>162</v>
      </c>
      <c r="I262" s="38">
        <v>26</v>
      </c>
      <c r="J262" s="38">
        <v>22492.82</v>
      </c>
    </row>
    <row r="263" spans="2:10" ht="34.5" x14ac:dyDescent="0.25">
      <c r="B263" s="40" t="s">
        <v>418</v>
      </c>
      <c r="C263" s="40" t="s">
        <v>325</v>
      </c>
      <c r="D263" s="40" t="s">
        <v>573</v>
      </c>
      <c r="E263" s="40" t="s">
        <v>291</v>
      </c>
      <c r="F263" s="40" t="s">
        <v>564</v>
      </c>
      <c r="G263" s="40" t="s">
        <v>778</v>
      </c>
      <c r="H263" s="39" t="s">
        <v>289</v>
      </c>
      <c r="I263" s="38">
        <v>99.39</v>
      </c>
      <c r="J263" s="38">
        <v>22592.21</v>
      </c>
    </row>
    <row r="264" spans="2:10" ht="34.5" x14ac:dyDescent="0.25">
      <c r="B264" s="40" t="s">
        <v>418</v>
      </c>
      <c r="C264" s="40" t="s">
        <v>325</v>
      </c>
      <c r="D264" s="40">
        <v>20260603</v>
      </c>
      <c r="E264" s="40" t="s">
        <v>291</v>
      </c>
      <c r="F264" s="40" t="s">
        <v>570</v>
      </c>
      <c r="G264" s="40" t="s">
        <v>777</v>
      </c>
      <c r="H264" s="40" t="s">
        <v>162</v>
      </c>
      <c r="I264" s="38">
        <v>9.75</v>
      </c>
      <c r="J264" s="38">
        <v>22601.96</v>
      </c>
    </row>
    <row r="265" spans="2:10" ht="23.25" x14ac:dyDescent="0.25">
      <c r="B265" s="40" t="s">
        <v>418</v>
      </c>
      <c r="C265" s="40" t="s">
        <v>678</v>
      </c>
      <c r="D265" s="40" t="s">
        <v>776</v>
      </c>
      <c r="E265" s="40" t="s">
        <v>291</v>
      </c>
      <c r="F265" s="40" t="s">
        <v>562</v>
      </c>
      <c r="G265" s="40"/>
      <c r="H265" s="40" t="s">
        <v>9</v>
      </c>
      <c r="I265" s="38">
        <v>-3.22</v>
      </c>
      <c r="J265" s="38">
        <v>22598.74</v>
      </c>
    </row>
    <row r="266" spans="2:10" x14ac:dyDescent="0.25">
      <c r="B266" s="40" t="s">
        <v>418</v>
      </c>
      <c r="C266" s="40" t="s">
        <v>678</v>
      </c>
      <c r="D266" s="40" t="s">
        <v>775</v>
      </c>
      <c r="E266" s="40" t="s">
        <v>291</v>
      </c>
      <c r="F266" s="40" t="s">
        <v>595</v>
      </c>
      <c r="G266" s="40"/>
      <c r="H266" s="40" t="s">
        <v>9</v>
      </c>
      <c r="I266" s="38">
        <v>-42.25</v>
      </c>
      <c r="J266" s="38">
        <v>22556.49</v>
      </c>
    </row>
    <row r="267" spans="2:10" x14ac:dyDescent="0.25">
      <c r="B267" s="40" t="s">
        <v>418</v>
      </c>
      <c r="C267" s="40" t="s">
        <v>678</v>
      </c>
      <c r="D267" s="40" t="s">
        <v>774</v>
      </c>
      <c r="E267" s="40" t="s">
        <v>291</v>
      </c>
      <c r="F267" s="40" t="s">
        <v>566</v>
      </c>
      <c r="G267" s="40"/>
      <c r="H267" s="40" t="s">
        <v>9</v>
      </c>
      <c r="I267" s="38">
        <v>-22.75</v>
      </c>
      <c r="J267" s="38">
        <v>22533.74</v>
      </c>
    </row>
    <row r="268" spans="2:10" ht="34.5" x14ac:dyDescent="0.25">
      <c r="B268" s="40" t="s">
        <v>418</v>
      </c>
      <c r="C268" s="40" t="s">
        <v>325</v>
      </c>
      <c r="D268" s="40">
        <v>20260603</v>
      </c>
      <c r="E268" s="40" t="s">
        <v>291</v>
      </c>
      <c r="F268" s="40" t="s">
        <v>537</v>
      </c>
      <c r="G268" s="40" t="s">
        <v>773</v>
      </c>
      <c r="H268" s="39" t="s">
        <v>289</v>
      </c>
      <c r="I268" s="38">
        <v>9.75</v>
      </c>
      <c r="J268" s="38">
        <v>22543.49</v>
      </c>
    </row>
    <row r="269" spans="2:10" ht="34.5" x14ac:dyDescent="0.25">
      <c r="B269" s="40" t="s">
        <v>418</v>
      </c>
      <c r="C269" s="40" t="s">
        <v>325</v>
      </c>
      <c r="D269" s="40" t="s">
        <v>574</v>
      </c>
      <c r="E269" s="40" t="s">
        <v>291</v>
      </c>
      <c r="F269" s="40" t="s">
        <v>554</v>
      </c>
      <c r="G269" s="40" t="s">
        <v>772</v>
      </c>
      <c r="H269" s="39" t="s">
        <v>289</v>
      </c>
      <c r="I269" s="38">
        <v>18.2</v>
      </c>
      <c r="J269" s="38">
        <v>22561.69</v>
      </c>
    </row>
    <row r="270" spans="2:10" x14ac:dyDescent="0.25">
      <c r="B270" s="40" t="s">
        <v>418</v>
      </c>
      <c r="C270" s="40" t="s">
        <v>678</v>
      </c>
      <c r="D270" s="40" t="s">
        <v>771</v>
      </c>
      <c r="E270" s="40" t="s">
        <v>291</v>
      </c>
      <c r="F270" s="40" t="s">
        <v>566</v>
      </c>
      <c r="G270" s="40"/>
      <c r="H270" s="40" t="s">
        <v>9</v>
      </c>
      <c r="I270" s="38">
        <v>-6.5</v>
      </c>
      <c r="J270" s="38">
        <v>22555.19</v>
      </c>
    </row>
    <row r="271" spans="2:10" x14ac:dyDescent="0.25">
      <c r="B271" s="40" t="s">
        <v>418</v>
      </c>
      <c r="C271" s="40" t="s">
        <v>678</v>
      </c>
      <c r="D271" s="40" t="s">
        <v>770</v>
      </c>
      <c r="E271" s="40" t="s">
        <v>291</v>
      </c>
      <c r="F271" s="40" t="s">
        <v>554</v>
      </c>
      <c r="G271" s="40"/>
      <c r="H271" s="40" t="s">
        <v>9</v>
      </c>
      <c r="I271" s="38">
        <v>-7.8</v>
      </c>
      <c r="J271" s="38">
        <v>22547.39</v>
      </c>
    </row>
    <row r="272" spans="2:10" x14ac:dyDescent="0.25">
      <c r="B272" s="40" t="s">
        <v>418</v>
      </c>
      <c r="C272" s="40" t="s">
        <v>678</v>
      </c>
      <c r="D272" s="40" t="s">
        <v>769</v>
      </c>
      <c r="E272" s="40" t="s">
        <v>291</v>
      </c>
      <c r="F272" s="40" t="s">
        <v>542</v>
      </c>
      <c r="G272" s="40"/>
      <c r="H272" s="40" t="s">
        <v>9</v>
      </c>
      <c r="I272" s="38">
        <v>-37.700000000000003</v>
      </c>
      <c r="J272" s="38">
        <v>22509.69</v>
      </c>
    </row>
    <row r="273" spans="2:10" x14ac:dyDescent="0.25">
      <c r="B273" s="40" t="s">
        <v>418</v>
      </c>
      <c r="C273" s="40" t="s">
        <v>678</v>
      </c>
      <c r="D273" s="40" t="s">
        <v>768</v>
      </c>
      <c r="E273" s="40" t="s">
        <v>291</v>
      </c>
      <c r="F273" s="40" t="s">
        <v>540</v>
      </c>
      <c r="G273" s="40"/>
      <c r="H273" s="40" t="s">
        <v>9</v>
      </c>
      <c r="I273" s="38">
        <v>-16.25</v>
      </c>
      <c r="J273" s="38">
        <v>22493.439999999999</v>
      </c>
    </row>
    <row r="274" spans="2:10" x14ac:dyDescent="0.25">
      <c r="B274" s="40" t="s">
        <v>418</v>
      </c>
      <c r="C274" s="40" t="s">
        <v>678</v>
      </c>
      <c r="D274" s="40" t="s">
        <v>767</v>
      </c>
      <c r="E274" s="40" t="s">
        <v>291</v>
      </c>
      <c r="F274" s="40" t="s">
        <v>566</v>
      </c>
      <c r="G274" s="40"/>
      <c r="H274" s="40" t="s">
        <v>9</v>
      </c>
      <c r="I274" s="38">
        <v>-3.25</v>
      </c>
      <c r="J274" s="38">
        <v>22490.19</v>
      </c>
    </row>
    <row r="275" spans="2:10" ht="23.25" x14ac:dyDescent="0.25">
      <c r="B275" s="40" t="s">
        <v>415</v>
      </c>
      <c r="C275" s="40" t="s">
        <v>678</v>
      </c>
      <c r="D275" s="40" t="s">
        <v>766</v>
      </c>
      <c r="E275" s="40" t="s">
        <v>291</v>
      </c>
      <c r="F275" s="40" t="s">
        <v>557</v>
      </c>
      <c r="G275" s="40"/>
      <c r="H275" s="40" t="s">
        <v>9</v>
      </c>
      <c r="I275" s="38">
        <v>-87.75</v>
      </c>
      <c r="J275" s="38">
        <v>22402.44</v>
      </c>
    </row>
    <row r="276" spans="2:10" x14ac:dyDescent="0.25">
      <c r="B276" s="40" t="s">
        <v>415</v>
      </c>
      <c r="C276" s="40" t="s">
        <v>678</v>
      </c>
      <c r="D276" s="40" t="s">
        <v>765</v>
      </c>
      <c r="E276" s="40" t="s">
        <v>291</v>
      </c>
      <c r="F276" s="40" t="s">
        <v>537</v>
      </c>
      <c r="G276" s="40"/>
      <c r="H276" s="40" t="s">
        <v>9</v>
      </c>
      <c r="I276" s="38">
        <v>-9.75</v>
      </c>
      <c r="J276" s="38">
        <v>22392.69</v>
      </c>
    </row>
    <row r="277" spans="2:10" x14ac:dyDescent="0.25">
      <c r="B277" s="40" t="s">
        <v>415</v>
      </c>
      <c r="C277" s="40" t="s">
        <v>678</v>
      </c>
      <c r="D277" s="40" t="s">
        <v>764</v>
      </c>
      <c r="E277" s="40" t="s">
        <v>291</v>
      </c>
      <c r="F277" s="40" t="s">
        <v>570</v>
      </c>
      <c r="G277" s="40"/>
      <c r="H277" s="40" t="s">
        <v>9</v>
      </c>
      <c r="I277" s="38">
        <v>-9.75</v>
      </c>
      <c r="J277" s="38">
        <v>22382.94</v>
      </c>
    </row>
    <row r="278" spans="2:10" ht="23.25" x14ac:dyDescent="0.25">
      <c r="B278" s="40" t="s">
        <v>415</v>
      </c>
      <c r="C278" s="40" t="s">
        <v>678</v>
      </c>
      <c r="D278" s="40" t="s">
        <v>763</v>
      </c>
      <c r="E278" s="40" t="s">
        <v>291</v>
      </c>
      <c r="F278" s="40" t="s">
        <v>564</v>
      </c>
      <c r="G278" s="40"/>
      <c r="H278" s="40" t="s">
        <v>9</v>
      </c>
      <c r="I278" s="38">
        <v>-99.39</v>
      </c>
      <c r="J278" s="38">
        <v>22283.55</v>
      </c>
    </row>
    <row r="279" spans="2:10" ht="23.25" x14ac:dyDescent="0.25">
      <c r="B279" s="40" t="s">
        <v>415</v>
      </c>
      <c r="C279" s="40" t="s">
        <v>678</v>
      </c>
      <c r="D279" s="40" t="s">
        <v>762</v>
      </c>
      <c r="E279" s="40" t="s">
        <v>291</v>
      </c>
      <c r="F279" s="40" t="s">
        <v>544</v>
      </c>
      <c r="G279" s="40"/>
      <c r="H279" s="40" t="s">
        <v>9</v>
      </c>
      <c r="I279" s="38">
        <v>-26</v>
      </c>
      <c r="J279" s="38">
        <v>22257.55</v>
      </c>
    </row>
    <row r="280" spans="2:10" ht="23.25" x14ac:dyDescent="0.25">
      <c r="B280" s="40" t="s">
        <v>415</v>
      </c>
      <c r="C280" s="40" t="s">
        <v>678</v>
      </c>
      <c r="D280" s="40" t="s">
        <v>761</v>
      </c>
      <c r="E280" s="40" t="s">
        <v>291</v>
      </c>
      <c r="F280" s="40" t="s">
        <v>542</v>
      </c>
      <c r="G280" s="40"/>
      <c r="H280" s="40" t="s">
        <v>9</v>
      </c>
      <c r="I280" s="38">
        <v>-71.5</v>
      </c>
      <c r="J280" s="38">
        <v>22186.05</v>
      </c>
    </row>
    <row r="281" spans="2:10" x14ac:dyDescent="0.25">
      <c r="B281" s="40" t="s">
        <v>415</v>
      </c>
      <c r="C281" s="40" t="s">
        <v>678</v>
      </c>
      <c r="D281" s="40" t="s">
        <v>760</v>
      </c>
      <c r="E281" s="40" t="s">
        <v>291</v>
      </c>
      <c r="F281" s="40" t="s">
        <v>540</v>
      </c>
      <c r="G281" s="40"/>
      <c r="H281" s="40" t="s">
        <v>9</v>
      </c>
      <c r="I281" s="38">
        <v>-113.75</v>
      </c>
      <c r="J281" s="38">
        <v>22072.3</v>
      </c>
    </row>
    <row r="282" spans="2:10" ht="23.25" x14ac:dyDescent="0.25">
      <c r="B282" s="40" t="s">
        <v>415</v>
      </c>
      <c r="C282" s="40" t="s">
        <v>678</v>
      </c>
      <c r="D282" s="40" t="s">
        <v>759</v>
      </c>
      <c r="E282" s="40" t="s">
        <v>291</v>
      </c>
      <c r="F282" s="40" t="s">
        <v>558</v>
      </c>
      <c r="G282" s="40"/>
      <c r="H282" s="40" t="s">
        <v>9</v>
      </c>
      <c r="I282" s="38">
        <v>-94.25</v>
      </c>
      <c r="J282" s="38">
        <v>21978.05</v>
      </c>
    </row>
    <row r="283" spans="2:10" ht="23.25" x14ac:dyDescent="0.25">
      <c r="B283" s="40" t="s">
        <v>415</v>
      </c>
      <c r="C283" s="40" t="s">
        <v>678</v>
      </c>
      <c r="D283" s="40" t="s">
        <v>758</v>
      </c>
      <c r="E283" s="40" t="s">
        <v>291</v>
      </c>
      <c r="F283" s="40" t="s">
        <v>543</v>
      </c>
      <c r="G283" s="40"/>
      <c r="H283" s="40" t="s">
        <v>9</v>
      </c>
      <c r="I283" s="38">
        <v>-3.25</v>
      </c>
      <c r="J283" s="38">
        <v>21974.799999999999</v>
      </c>
    </row>
    <row r="284" spans="2:10" x14ac:dyDescent="0.25">
      <c r="B284" s="40" t="s">
        <v>415</v>
      </c>
      <c r="C284" s="40" t="s">
        <v>678</v>
      </c>
      <c r="D284" s="40" t="s">
        <v>757</v>
      </c>
      <c r="E284" s="40" t="s">
        <v>291</v>
      </c>
      <c r="F284" s="40" t="s">
        <v>554</v>
      </c>
      <c r="G284" s="40"/>
      <c r="H284" s="40" t="s">
        <v>9</v>
      </c>
      <c r="I284" s="38">
        <v>-18.2</v>
      </c>
      <c r="J284" s="38">
        <v>21956.6</v>
      </c>
    </row>
    <row r="285" spans="2:10" ht="23.25" x14ac:dyDescent="0.25">
      <c r="B285" s="40" t="s">
        <v>415</v>
      </c>
      <c r="C285" s="40" t="s">
        <v>678</v>
      </c>
      <c r="D285" s="40" t="s">
        <v>756</v>
      </c>
      <c r="E285" s="40" t="s">
        <v>291</v>
      </c>
      <c r="F285" s="40" t="s">
        <v>566</v>
      </c>
      <c r="G285" s="40"/>
      <c r="H285" s="40" t="s">
        <v>9</v>
      </c>
      <c r="I285" s="38">
        <v>-23.4</v>
      </c>
      <c r="J285" s="38">
        <v>21933.200000000001</v>
      </c>
    </row>
    <row r="286" spans="2:10" x14ac:dyDescent="0.25">
      <c r="B286" s="40" t="s">
        <v>415</v>
      </c>
      <c r="C286" s="40" t="s">
        <v>678</v>
      </c>
      <c r="D286" s="40" t="s">
        <v>755</v>
      </c>
      <c r="E286" s="40" t="s">
        <v>291</v>
      </c>
      <c r="F286" s="40" t="s">
        <v>458</v>
      </c>
      <c r="G286" s="40"/>
      <c r="H286" s="40" t="s">
        <v>9</v>
      </c>
      <c r="I286" s="38">
        <v>-1800</v>
      </c>
      <c r="J286" s="38">
        <v>20133.2</v>
      </c>
    </row>
    <row r="287" spans="2:10" x14ac:dyDescent="0.25">
      <c r="B287" s="40" t="s">
        <v>412</v>
      </c>
      <c r="C287" s="40" t="s">
        <v>678</v>
      </c>
      <c r="D287" s="40" t="s">
        <v>754</v>
      </c>
      <c r="E287" s="40" t="s">
        <v>291</v>
      </c>
      <c r="F287" s="40" t="s">
        <v>497</v>
      </c>
      <c r="G287" s="40"/>
      <c r="H287" s="40" t="s">
        <v>9</v>
      </c>
      <c r="I287" s="38">
        <v>-17050</v>
      </c>
      <c r="J287" s="38">
        <v>3083.2</v>
      </c>
    </row>
    <row r="288" spans="2:10" ht="34.5" x14ac:dyDescent="0.25">
      <c r="B288" s="40" t="s">
        <v>351</v>
      </c>
      <c r="C288" s="40" t="s">
        <v>325</v>
      </c>
      <c r="D288" s="40" t="s">
        <v>493</v>
      </c>
      <c r="E288" s="40" t="s">
        <v>291</v>
      </c>
      <c r="F288" s="40" t="s">
        <v>492</v>
      </c>
      <c r="G288" s="40" t="s">
        <v>753</v>
      </c>
      <c r="H288" s="40" t="s">
        <v>692</v>
      </c>
      <c r="I288" s="38">
        <v>500</v>
      </c>
      <c r="J288" s="38">
        <v>3583.2</v>
      </c>
    </row>
    <row r="289" spans="2:10" ht="23.25" x14ac:dyDescent="0.25">
      <c r="B289" s="40" t="s">
        <v>351</v>
      </c>
      <c r="C289" s="40" t="s">
        <v>325</v>
      </c>
      <c r="D289" s="40">
        <v>260608</v>
      </c>
      <c r="E289" s="40" t="s">
        <v>291</v>
      </c>
      <c r="F289" s="40" t="s">
        <v>548</v>
      </c>
      <c r="G289" s="40" t="s">
        <v>752</v>
      </c>
      <c r="H289" s="40" t="s">
        <v>162</v>
      </c>
      <c r="I289" s="38">
        <v>130</v>
      </c>
      <c r="J289" s="38">
        <v>3713.2</v>
      </c>
    </row>
    <row r="290" spans="2:10" ht="34.5" x14ac:dyDescent="0.25">
      <c r="B290" s="40" t="s">
        <v>350</v>
      </c>
      <c r="C290" s="40" t="s">
        <v>325</v>
      </c>
      <c r="D290" s="40" t="s">
        <v>349</v>
      </c>
      <c r="E290" s="40" t="s">
        <v>291</v>
      </c>
      <c r="F290" s="40" t="s">
        <v>348</v>
      </c>
      <c r="G290" s="40" t="s">
        <v>751</v>
      </c>
      <c r="H290" s="40" t="s">
        <v>662</v>
      </c>
      <c r="I290" s="38">
        <v>468</v>
      </c>
      <c r="J290" s="38">
        <v>4181.2</v>
      </c>
    </row>
    <row r="291" spans="2:10" ht="34.5" x14ac:dyDescent="0.25">
      <c r="B291" s="40" t="s">
        <v>350</v>
      </c>
      <c r="C291" s="40" t="s">
        <v>325</v>
      </c>
      <c r="D291" s="40">
        <v>42166053</v>
      </c>
      <c r="E291" s="40" t="s">
        <v>291</v>
      </c>
      <c r="F291" s="40" t="s">
        <v>436</v>
      </c>
      <c r="G291" s="40" t="s">
        <v>750</v>
      </c>
      <c r="H291" s="40" t="s">
        <v>745</v>
      </c>
      <c r="I291" s="38">
        <v>292.83</v>
      </c>
      <c r="J291" s="38">
        <v>4474.03</v>
      </c>
    </row>
    <row r="292" spans="2:10" ht="23.25" x14ac:dyDescent="0.25">
      <c r="B292" s="40" t="s">
        <v>350</v>
      </c>
      <c r="C292" s="40" t="s">
        <v>678</v>
      </c>
      <c r="D292" s="40" t="s">
        <v>749</v>
      </c>
      <c r="E292" s="40" t="s">
        <v>291</v>
      </c>
      <c r="F292" s="40" t="s">
        <v>548</v>
      </c>
      <c r="G292" s="40"/>
      <c r="H292" s="40" t="s">
        <v>9</v>
      </c>
      <c r="I292" s="38">
        <v>-130</v>
      </c>
      <c r="J292" s="38">
        <v>4344.03</v>
      </c>
    </row>
    <row r="293" spans="2:10" x14ac:dyDescent="0.25">
      <c r="B293" s="40" t="s">
        <v>350</v>
      </c>
      <c r="C293" s="40" t="s">
        <v>678</v>
      </c>
      <c r="D293" s="40" t="s">
        <v>748</v>
      </c>
      <c r="E293" s="40" t="s">
        <v>291</v>
      </c>
      <c r="F293" s="40" t="s">
        <v>492</v>
      </c>
      <c r="G293" s="40"/>
      <c r="H293" s="40" t="s">
        <v>9</v>
      </c>
      <c r="I293" s="38">
        <v>-500</v>
      </c>
      <c r="J293" s="38">
        <v>3844.03</v>
      </c>
    </row>
    <row r="294" spans="2:10" ht="34.5" x14ac:dyDescent="0.25">
      <c r="B294" s="40" t="s">
        <v>350</v>
      </c>
      <c r="C294" s="40" t="s">
        <v>325</v>
      </c>
      <c r="D294" s="40">
        <v>20260610</v>
      </c>
      <c r="E294" s="40" t="s">
        <v>291</v>
      </c>
      <c r="F294" s="40" t="s">
        <v>566</v>
      </c>
      <c r="G294" s="40" t="s">
        <v>747</v>
      </c>
      <c r="H294" s="40" t="s">
        <v>162</v>
      </c>
      <c r="I294" s="38">
        <v>9.75</v>
      </c>
      <c r="J294" s="38">
        <v>3853.78</v>
      </c>
    </row>
    <row r="295" spans="2:10" ht="34.5" x14ac:dyDescent="0.25">
      <c r="B295" s="40" t="s">
        <v>346</v>
      </c>
      <c r="C295" s="40" t="s">
        <v>325</v>
      </c>
      <c r="D295" s="40">
        <v>66548</v>
      </c>
      <c r="E295" s="40" t="s">
        <v>291</v>
      </c>
      <c r="F295" s="40" t="s">
        <v>434</v>
      </c>
      <c r="G295" s="40" t="s">
        <v>746</v>
      </c>
      <c r="H295" s="40" t="s">
        <v>745</v>
      </c>
      <c r="I295" s="38">
        <v>2169.06</v>
      </c>
      <c r="J295" s="38">
        <v>6022.84</v>
      </c>
    </row>
    <row r="296" spans="2:10" ht="34.5" x14ac:dyDescent="0.25">
      <c r="B296" s="40" t="s">
        <v>345</v>
      </c>
      <c r="C296" s="40" t="s">
        <v>325</v>
      </c>
      <c r="D296" s="40">
        <v>20260612</v>
      </c>
      <c r="E296" s="40" t="s">
        <v>291</v>
      </c>
      <c r="F296" s="40" t="s">
        <v>570</v>
      </c>
      <c r="G296" s="40" t="s">
        <v>744</v>
      </c>
      <c r="H296" s="40" t="s">
        <v>162</v>
      </c>
      <c r="I296" s="38">
        <v>19.5</v>
      </c>
      <c r="J296" s="38">
        <v>6042.34</v>
      </c>
    </row>
    <row r="297" spans="2:10" ht="34.5" x14ac:dyDescent="0.25">
      <c r="B297" s="40" t="s">
        <v>345</v>
      </c>
      <c r="C297" s="40" t="s">
        <v>325</v>
      </c>
      <c r="D297" s="40">
        <v>20260612</v>
      </c>
      <c r="E297" s="40" t="s">
        <v>291</v>
      </c>
      <c r="F297" s="40" t="s">
        <v>564</v>
      </c>
      <c r="G297" s="40" t="s">
        <v>743</v>
      </c>
      <c r="H297" s="40" t="s">
        <v>162</v>
      </c>
      <c r="I297" s="38">
        <v>9.1</v>
      </c>
      <c r="J297" s="38">
        <v>6051.44</v>
      </c>
    </row>
    <row r="298" spans="2:10" ht="34.5" x14ac:dyDescent="0.25">
      <c r="B298" s="40" t="s">
        <v>345</v>
      </c>
      <c r="C298" s="40" t="s">
        <v>325</v>
      </c>
      <c r="D298" s="40">
        <v>20260612</v>
      </c>
      <c r="E298" s="40" t="s">
        <v>291</v>
      </c>
      <c r="F298" s="40" t="s">
        <v>544</v>
      </c>
      <c r="G298" s="40" t="s">
        <v>742</v>
      </c>
      <c r="H298" s="40" t="s">
        <v>162</v>
      </c>
      <c r="I298" s="38">
        <v>26</v>
      </c>
      <c r="J298" s="38">
        <v>6077.44</v>
      </c>
    </row>
    <row r="299" spans="2:10" ht="34.5" x14ac:dyDescent="0.25">
      <c r="B299" s="40" t="s">
        <v>345</v>
      </c>
      <c r="C299" s="40" t="s">
        <v>325</v>
      </c>
      <c r="D299" s="40">
        <v>20260612</v>
      </c>
      <c r="E299" s="40" t="s">
        <v>291</v>
      </c>
      <c r="F299" s="40" t="s">
        <v>566</v>
      </c>
      <c r="G299" s="40" t="s">
        <v>741</v>
      </c>
      <c r="H299" s="39" t="s">
        <v>289</v>
      </c>
      <c r="I299" s="38">
        <v>65</v>
      </c>
      <c r="J299" s="38">
        <v>6142.44</v>
      </c>
    </row>
    <row r="300" spans="2:10" ht="34.5" x14ac:dyDescent="0.25">
      <c r="B300" s="40" t="s">
        <v>477</v>
      </c>
      <c r="C300" s="40" t="s">
        <v>325</v>
      </c>
      <c r="D300" s="40">
        <v>20260614</v>
      </c>
      <c r="E300" s="40" t="s">
        <v>291</v>
      </c>
      <c r="F300" s="40" t="s">
        <v>566</v>
      </c>
      <c r="G300" s="40" t="s">
        <v>740</v>
      </c>
      <c r="H300" s="40" t="s">
        <v>162</v>
      </c>
      <c r="I300" s="38">
        <v>9.75</v>
      </c>
      <c r="J300" s="38">
        <v>6152.19</v>
      </c>
    </row>
    <row r="301" spans="2:10" ht="34.5" x14ac:dyDescent="0.25">
      <c r="B301" s="40" t="s">
        <v>477</v>
      </c>
      <c r="C301" s="40" t="s">
        <v>325</v>
      </c>
      <c r="D301" s="40">
        <v>20260614</v>
      </c>
      <c r="E301" s="40" t="s">
        <v>291</v>
      </c>
      <c r="F301" s="40" t="s">
        <v>396</v>
      </c>
      <c r="G301" s="40" t="s">
        <v>739</v>
      </c>
      <c r="H301" s="40" t="s">
        <v>52</v>
      </c>
      <c r="I301" s="38">
        <v>173.68</v>
      </c>
      <c r="J301" s="38">
        <v>6325.87</v>
      </c>
    </row>
    <row r="302" spans="2:10" ht="34.5" x14ac:dyDescent="0.25">
      <c r="B302" s="40" t="s">
        <v>310</v>
      </c>
      <c r="C302" s="40" t="s">
        <v>325</v>
      </c>
      <c r="D302" s="40">
        <v>128</v>
      </c>
      <c r="E302" s="40" t="s">
        <v>291</v>
      </c>
      <c r="F302" s="40" t="s">
        <v>490</v>
      </c>
      <c r="G302" s="40" t="s">
        <v>738</v>
      </c>
      <c r="H302" s="40" t="s">
        <v>692</v>
      </c>
      <c r="I302" s="38">
        <v>2000</v>
      </c>
      <c r="J302" s="38">
        <v>8325.8700000000008</v>
      </c>
    </row>
    <row r="303" spans="2:10" ht="34.5" x14ac:dyDescent="0.25">
      <c r="B303" s="40" t="s">
        <v>343</v>
      </c>
      <c r="C303" s="40" t="s">
        <v>325</v>
      </c>
      <c r="D303" s="40">
        <v>20260616</v>
      </c>
      <c r="E303" s="40" t="s">
        <v>291</v>
      </c>
      <c r="F303" s="40" t="s">
        <v>564</v>
      </c>
      <c r="G303" s="40" t="s">
        <v>737</v>
      </c>
      <c r="H303" s="39" t="s">
        <v>289</v>
      </c>
      <c r="I303" s="38">
        <v>135.16999999999999</v>
      </c>
      <c r="J303" s="38">
        <v>8461.0400000000009</v>
      </c>
    </row>
    <row r="304" spans="2:10" ht="34.5" x14ac:dyDescent="0.25">
      <c r="B304" s="40" t="s">
        <v>343</v>
      </c>
      <c r="C304" s="40" t="s">
        <v>325</v>
      </c>
      <c r="D304" s="40">
        <v>20260616</v>
      </c>
      <c r="E304" s="40" t="s">
        <v>291</v>
      </c>
      <c r="F304" s="40" t="s">
        <v>464</v>
      </c>
      <c r="G304" s="40" t="s">
        <v>736</v>
      </c>
      <c r="H304" s="40" t="s">
        <v>664</v>
      </c>
      <c r="I304" s="38">
        <v>781.79</v>
      </c>
      <c r="J304" s="38">
        <v>9242.83</v>
      </c>
    </row>
    <row r="305" spans="2:10" ht="34.5" x14ac:dyDescent="0.25">
      <c r="B305" s="40" t="s">
        <v>343</v>
      </c>
      <c r="C305" s="40" t="s">
        <v>325</v>
      </c>
      <c r="D305" s="40">
        <v>20260616</v>
      </c>
      <c r="E305" s="40" t="s">
        <v>291</v>
      </c>
      <c r="F305" s="40" t="s">
        <v>544</v>
      </c>
      <c r="G305" s="40" t="s">
        <v>735</v>
      </c>
      <c r="H305" s="40" t="s">
        <v>162</v>
      </c>
      <c r="I305" s="38">
        <v>39</v>
      </c>
      <c r="J305" s="38">
        <v>9281.83</v>
      </c>
    </row>
    <row r="306" spans="2:10" ht="34.5" x14ac:dyDescent="0.25">
      <c r="B306" s="40" t="s">
        <v>343</v>
      </c>
      <c r="C306" s="40" t="s">
        <v>325</v>
      </c>
      <c r="D306" s="40">
        <v>20260616</v>
      </c>
      <c r="E306" s="40" t="s">
        <v>291</v>
      </c>
      <c r="F306" s="40" t="s">
        <v>554</v>
      </c>
      <c r="G306" s="40" t="s">
        <v>734</v>
      </c>
      <c r="H306" s="40" t="s">
        <v>162</v>
      </c>
      <c r="I306" s="38">
        <v>13</v>
      </c>
      <c r="J306" s="38">
        <v>9294.83</v>
      </c>
    </row>
    <row r="307" spans="2:10" ht="34.5" x14ac:dyDescent="0.25">
      <c r="B307" s="40" t="s">
        <v>343</v>
      </c>
      <c r="C307" s="40" t="s">
        <v>325</v>
      </c>
      <c r="D307" s="40">
        <v>20260616</v>
      </c>
      <c r="E307" s="40" t="s">
        <v>291</v>
      </c>
      <c r="F307" s="40" t="s">
        <v>562</v>
      </c>
      <c r="G307" s="40" t="s">
        <v>733</v>
      </c>
      <c r="H307" s="40" t="s">
        <v>162</v>
      </c>
      <c r="I307" s="38">
        <v>6.44</v>
      </c>
      <c r="J307" s="38">
        <v>9301.27</v>
      </c>
    </row>
    <row r="308" spans="2:10" ht="34.5" x14ac:dyDescent="0.25">
      <c r="B308" s="40" t="s">
        <v>343</v>
      </c>
      <c r="C308" s="40" t="s">
        <v>325</v>
      </c>
      <c r="D308" s="40">
        <v>20260616</v>
      </c>
      <c r="E308" s="40" t="s">
        <v>291</v>
      </c>
      <c r="F308" s="40" t="s">
        <v>542</v>
      </c>
      <c r="G308" s="40" t="s">
        <v>732</v>
      </c>
      <c r="H308" s="40" t="s">
        <v>162</v>
      </c>
      <c r="I308" s="38">
        <v>94.25</v>
      </c>
      <c r="J308" s="38">
        <v>9395.52</v>
      </c>
    </row>
    <row r="309" spans="2:10" ht="34.5" x14ac:dyDescent="0.25">
      <c r="B309" s="40" t="s">
        <v>343</v>
      </c>
      <c r="C309" s="40" t="s">
        <v>325</v>
      </c>
      <c r="D309" s="40">
        <v>20260616</v>
      </c>
      <c r="E309" s="40" t="s">
        <v>291</v>
      </c>
      <c r="F309" s="40" t="s">
        <v>552</v>
      </c>
      <c r="G309" s="40" t="s">
        <v>731</v>
      </c>
      <c r="H309" s="40" t="s">
        <v>162</v>
      </c>
      <c r="I309" s="38">
        <v>7.8</v>
      </c>
      <c r="J309" s="38">
        <v>9403.32</v>
      </c>
    </row>
    <row r="310" spans="2:10" ht="34.5" x14ac:dyDescent="0.25">
      <c r="B310" s="40" t="s">
        <v>343</v>
      </c>
      <c r="C310" s="40" t="s">
        <v>325</v>
      </c>
      <c r="D310" s="40">
        <v>2026061601</v>
      </c>
      <c r="E310" s="40" t="s">
        <v>291</v>
      </c>
      <c r="F310" s="40" t="s">
        <v>552</v>
      </c>
      <c r="G310" s="40" t="s">
        <v>730</v>
      </c>
      <c r="H310" s="40" t="s">
        <v>162</v>
      </c>
      <c r="I310" s="38">
        <v>7.8</v>
      </c>
      <c r="J310" s="38">
        <v>9411.1200000000008</v>
      </c>
    </row>
    <row r="311" spans="2:10" ht="34.5" x14ac:dyDescent="0.25">
      <c r="B311" s="40" t="s">
        <v>343</v>
      </c>
      <c r="C311" s="40" t="s">
        <v>325</v>
      </c>
      <c r="D311" s="40">
        <v>20260616</v>
      </c>
      <c r="E311" s="40" t="s">
        <v>291</v>
      </c>
      <c r="F311" s="40" t="s">
        <v>543</v>
      </c>
      <c r="G311" s="40" t="s">
        <v>729</v>
      </c>
      <c r="H311" s="40" t="s">
        <v>162</v>
      </c>
      <c r="I311" s="38">
        <v>5.17</v>
      </c>
      <c r="J311" s="38">
        <v>9416.2900000000009</v>
      </c>
    </row>
    <row r="312" spans="2:10" ht="34.5" x14ac:dyDescent="0.25">
      <c r="B312" s="40" t="s">
        <v>343</v>
      </c>
      <c r="C312" s="40" t="s">
        <v>325</v>
      </c>
      <c r="D312" s="40">
        <v>20260616</v>
      </c>
      <c r="E312" s="40" t="s">
        <v>291</v>
      </c>
      <c r="F312" s="40" t="s">
        <v>558</v>
      </c>
      <c r="G312" s="40" t="s">
        <v>728</v>
      </c>
      <c r="H312" s="40" t="s">
        <v>162</v>
      </c>
      <c r="I312" s="38">
        <v>32.5</v>
      </c>
      <c r="J312" s="38">
        <v>9448.7900000000009</v>
      </c>
    </row>
    <row r="313" spans="2:10" ht="34.5" x14ac:dyDescent="0.25">
      <c r="B313" s="40" t="s">
        <v>343</v>
      </c>
      <c r="C313" s="40" t="s">
        <v>325</v>
      </c>
      <c r="D313" s="40">
        <v>20260616</v>
      </c>
      <c r="E313" s="40" t="s">
        <v>291</v>
      </c>
      <c r="F313" s="40" t="s">
        <v>560</v>
      </c>
      <c r="G313" s="40" t="s">
        <v>727</v>
      </c>
      <c r="H313" s="40" t="s">
        <v>162</v>
      </c>
      <c r="I313" s="38">
        <v>94.25</v>
      </c>
      <c r="J313" s="38">
        <v>9543.0400000000009</v>
      </c>
    </row>
    <row r="314" spans="2:10" ht="23.25" x14ac:dyDescent="0.25">
      <c r="B314" s="40" t="s">
        <v>343</v>
      </c>
      <c r="C314" s="40" t="s">
        <v>678</v>
      </c>
      <c r="D314" s="40" t="s">
        <v>726</v>
      </c>
      <c r="E314" s="40" t="s">
        <v>291</v>
      </c>
      <c r="F314" s="40" t="s">
        <v>564</v>
      </c>
      <c r="G314" s="40"/>
      <c r="H314" s="40" t="s">
        <v>9</v>
      </c>
      <c r="I314" s="38">
        <v>-9.1</v>
      </c>
      <c r="J314" s="38">
        <v>9533.94</v>
      </c>
    </row>
    <row r="315" spans="2:10" ht="23.25" x14ac:dyDescent="0.25">
      <c r="B315" s="40" t="s">
        <v>343</v>
      </c>
      <c r="C315" s="40" t="s">
        <v>678</v>
      </c>
      <c r="D315" s="40" t="s">
        <v>725</v>
      </c>
      <c r="E315" s="40" t="s">
        <v>291</v>
      </c>
      <c r="F315" s="40" t="s">
        <v>570</v>
      </c>
      <c r="G315" s="40"/>
      <c r="H315" s="40" t="s">
        <v>9</v>
      </c>
      <c r="I315" s="38">
        <v>-19.5</v>
      </c>
      <c r="J315" s="38">
        <v>9514.44</v>
      </c>
    </row>
    <row r="316" spans="2:10" ht="23.25" x14ac:dyDescent="0.25">
      <c r="B316" s="40" t="s">
        <v>343</v>
      </c>
      <c r="C316" s="40" t="s">
        <v>678</v>
      </c>
      <c r="D316" s="40" t="s">
        <v>724</v>
      </c>
      <c r="E316" s="40" t="s">
        <v>291</v>
      </c>
      <c r="F316" s="40" t="s">
        <v>544</v>
      </c>
      <c r="G316" s="40"/>
      <c r="H316" s="40" t="s">
        <v>9</v>
      </c>
      <c r="I316" s="38">
        <v>-26</v>
      </c>
      <c r="J316" s="38">
        <v>9488.44</v>
      </c>
    </row>
    <row r="317" spans="2:10" ht="34.5" x14ac:dyDescent="0.25">
      <c r="B317" s="40" t="s">
        <v>343</v>
      </c>
      <c r="C317" s="40" t="s">
        <v>325</v>
      </c>
      <c r="D317" s="40">
        <v>20260616</v>
      </c>
      <c r="E317" s="40" t="s">
        <v>291</v>
      </c>
      <c r="F317" s="40" t="s">
        <v>540</v>
      </c>
      <c r="G317" s="40" t="s">
        <v>723</v>
      </c>
      <c r="H317" s="39" t="s">
        <v>289</v>
      </c>
      <c r="I317" s="38">
        <v>195</v>
      </c>
      <c r="J317" s="38">
        <v>9683.44</v>
      </c>
    </row>
    <row r="318" spans="2:10" ht="34.5" x14ac:dyDescent="0.25">
      <c r="B318" s="40" t="s">
        <v>343</v>
      </c>
      <c r="C318" s="40" t="s">
        <v>325</v>
      </c>
      <c r="D318" s="40">
        <v>20260616</v>
      </c>
      <c r="E318" s="40" t="s">
        <v>291</v>
      </c>
      <c r="F318" s="40" t="s">
        <v>557</v>
      </c>
      <c r="G318" s="40" t="s">
        <v>722</v>
      </c>
      <c r="H318" s="40" t="s">
        <v>162</v>
      </c>
      <c r="I318" s="38">
        <v>52</v>
      </c>
      <c r="J318" s="38">
        <v>9735.44</v>
      </c>
    </row>
    <row r="319" spans="2:10" ht="23.25" x14ac:dyDescent="0.25">
      <c r="B319" s="40" t="s">
        <v>339</v>
      </c>
      <c r="C319" s="40" t="s">
        <v>678</v>
      </c>
      <c r="D319" s="40" t="s">
        <v>721</v>
      </c>
      <c r="E319" s="40" t="s">
        <v>291</v>
      </c>
      <c r="F319" s="40" t="s">
        <v>544</v>
      </c>
      <c r="G319" s="40"/>
      <c r="H319" s="40" t="s">
        <v>9</v>
      </c>
      <c r="I319" s="38">
        <v>-39</v>
      </c>
      <c r="J319" s="38">
        <v>9696.44</v>
      </c>
    </row>
    <row r="320" spans="2:10" ht="23.25" x14ac:dyDescent="0.25">
      <c r="B320" s="40" t="s">
        <v>339</v>
      </c>
      <c r="C320" s="40" t="s">
        <v>678</v>
      </c>
      <c r="D320" s="40" t="s">
        <v>720</v>
      </c>
      <c r="E320" s="40" t="s">
        <v>291</v>
      </c>
      <c r="F320" s="40" t="s">
        <v>554</v>
      </c>
      <c r="G320" s="40"/>
      <c r="H320" s="40" t="s">
        <v>9</v>
      </c>
      <c r="I320" s="38">
        <v>-13</v>
      </c>
      <c r="J320" s="38">
        <v>9683.44</v>
      </c>
    </row>
    <row r="321" spans="2:10" ht="23.25" x14ac:dyDescent="0.25">
      <c r="B321" s="40" t="s">
        <v>339</v>
      </c>
      <c r="C321" s="40" t="s">
        <v>678</v>
      </c>
      <c r="D321" s="40" t="s">
        <v>719</v>
      </c>
      <c r="E321" s="40" t="s">
        <v>291</v>
      </c>
      <c r="F321" s="40" t="s">
        <v>542</v>
      </c>
      <c r="G321" s="40"/>
      <c r="H321" s="40" t="s">
        <v>9</v>
      </c>
      <c r="I321" s="38">
        <v>-94.25</v>
      </c>
      <c r="J321" s="38">
        <v>9589.19</v>
      </c>
    </row>
    <row r="322" spans="2:10" x14ac:dyDescent="0.25">
      <c r="B322" s="40" t="s">
        <v>339</v>
      </c>
      <c r="C322" s="40" t="s">
        <v>678</v>
      </c>
      <c r="D322" s="40" t="s">
        <v>718</v>
      </c>
      <c r="E322" s="40" t="s">
        <v>291</v>
      </c>
      <c r="F322" s="40" t="s">
        <v>562</v>
      </c>
      <c r="G322" s="40"/>
      <c r="H322" s="40" t="s">
        <v>9</v>
      </c>
      <c r="I322" s="38">
        <v>-6.44</v>
      </c>
      <c r="J322" s="38">
        <v>9582.75</v>
      </c>
    </row>
    <row r="323" spans="2:10" ht="23.25" x14ac:dyDescent="0.25">
      <c r="B323" s="40" t="s">
        <v>339</v>
      </c>
      <c r="C323" s="40" t="s">
        <v>678</v>
      </c>
      <c r="D323" s="40" t="s">
        <v>717</v>
      </c>
      <c r="E323" s="40" t="s">
        <v>291</v>
      </c>
      <c r="F323" s="40" t="s">
        <v>507</v>
      </c>
      <c r="G323" s="40"/>
      <c r="H323" s="40" t="s">
        <v>9</v>
      </c>
      <c r="I323" s="38">
        <v>-18233.099999999999</v>
      </c>
      <c r="J323" s="38">
        <v>-8650.35</v>
      </c>
    </row>
    <row r="324" spans="2:10" x14ac:dyDescent="0.25">
      <c r="B324" s="40" t="s">
        <v>339</v>
      </c>
      <c r="C324" s="40" t="s">
        <v>678</v>
      </c>
      <c r="D324" s="40"/>
      <c r="E324" s="40" t="s">
        <v>291</v>
      </c>
      <c r="F324" s="40" t="s">
        <v>468</v>
      </c>
      <c r="G324" s="40"/>
      <c r="H324" s="40" t="s">
        <v>9</v>
      </c>
      <c r="I324" s="38">
        <v>-2767</v>
      </c>
      <c r="J324" s="38">
        <v>-11417.35</v>
      </c>
    </row>
    <row r="325" spans="2:10" ht="23.25" x14ac:dyDescent="0.25">
      <c r="B325" s="40" t="s">
        <v>339</v>
      </c>
      <c r="C325" s="40" t="s">
        <v>678</v>
      </c>
      <c r="D325" s="40" t="s">
        <v>716</v>
      </c>
      <c r="E325" s="40" t="s">
        <v>291</v>
      </c>
      <c r="F325" s="40" t="s">
        <v>558</v>
      </c>
      <c r="G325" s="40"/>
      <c r="H325" s="40" t="s">
        <v>9</v>
      </c>
      <c r="I325" s="38">
        <v>-32.5</v>
      </c>
      <c r="J325" s="38">
        <v>-11449.85</v>
      </c>
    </row>
    <row r="326" spans="2:10" ht="34.5" x14ac:dyDescent="0.25">
      <c r="B326" s="40" t="s">
        <v>339</v>
      </c>
      <c r="C326" s="40" t="s">
        <v>325</v>
      </c>
      <c r="D326" s="40">
        <v>126864</v>
      </c>
      <c r="E326" s="40" t="s">
        <v>291</v>
      </c>
      <c r="F326" s="40" t="s">
        <v>341</v>
      </c>
      <c r="G326" s="40" t="s">
        <v>715</v>
      </c>
      <c r="H326" s="40" t="s">
        <v>662</v>
      </c>
      <c r="I326" s="38">
        <v>1124.76</v>
      </c>
      <c r="J326" s="38">
        <v>-10325.09</v>
      </c>
    </row>
    <row r="327" spans="2:10" ht="23.25" x14ac:dyDescent="0.25">
      <c r="B327" s="40" t="s">
        <v>339</v>
      </c>
      <c r="C327" s="40" t="s">
        <v>678</v>
      </c>
      <c r="D327" s="40" t="s">
        <v>714</v>
      </c>
      <c r="E327" s="40" t="s">
        <v>291</v>
      </c>
      <c r="F327" s="40" t="s">
        <v>560</v>
      </c>
      <c r="G327" s="40"/>
      <c r="H327" s="40" t="s">
        <v>9</v>
      </c>
      <c r="I327" s="38">
        <v>-94.25</v>
      </c>
      <c r="J327" s="38">
        <v>-10419.34</v>
      </c>
    </row>
    <row r="328" spans="2:10" ht="23.25" x14ac:dyDescent="0.25">
      <c r="B328" s="40" t="s">
        <v>339</v>
      </c>
      <c r="C328" s="40" t="s">
        <v>678</v>
      </c>
      <c r="D328" s="40" t="s">
        <v>713</v>
      </c>
      <c r="E328" s="40" t="s">
        <v>291</v>
      </c>
      <c r="F328" s="40" t="s">
        <v>543</v>
      </c>
      <c r="G328" s="40"/>
      <c r="H328" s="40" t="s">
        <v>9</v>
      </c>
      <c r="I328" s="38">
        <v>-5.17</v>
      </c>
      <c r="J328" s="38">
        <v>-10424.51</v>
      </c>
    </row>
    <row r="329" spans="2:10" ht="23.25" x14ac:dyDescent="0.25">
      <c r="B329" s="40" t="s">
        <v>339</v>
      </c>
      <c r="C329" s="40" t="s">
        <v>678</v>
      </c>
      <c r="D329" s="40" t="s">
        <v>712</v>
      </c>
      <c r="E329" s="40" t="s">
        <v>291</v>
      </c>
      <c r="F329" s="40" t="s">
        <v>557</v>
      </c>
      <c r="G329" s="40"/>
      <c r="H329" s="40" t="s">
        <v>9</v>
      </c>
      <c r="I329" s="38">
        <v>-52</v>
      </c>
      <c r="J329" s="38">
        <v>-10476.51</v>
      </c>
    </row>
    <row r="330" spans="2:10" ht="34.5" x14ac:dyDescent="0.25">
      <c r="B330" s="40" t="s">
        <v>339</v>
      </c>
      <c r="C330" s="40" t="s">
        <v>325</v>
      </c>
      <c r="D330" s="40">
        <v>360105</v>
      </c>
      <c r="E330" s="40" t="s">
        <v>291</v>
      </c>
      <c r="F330" s="40" t="s">
        <v>336</v>
      </c>
      <c r="G330" s="40" t="s">
        <v>711</v>
      </c>
      <c r="H330" s="40" t="s">
        <v>662</v>
      </c>
      <c r="I330" s="38">
        <v>137.9</v>
      </c>
      <c r="J330" s="38">
        <v>-10338.61</v>
      </c>
    </row>
    <row r="331" spans="2:10" x14ac:dyDescent="0.25">
      <c r="B331" s="40" t="s">
        <v>339</v>
      </c>
      <c r="C331" s="40" t="s">
        <v>678</v>
      </c>
      <c r="D331" s="40" t="s">
        <v>710</v>
      </c>
      <c r="E331" s="40" t="s">
        <v>291</v>
      </c>
      <c r="F331" s="40" t="s">
        <v>348</v>
      </c>
      <c r="G331" s="40"/>
      <c r="H331" s="40" t="s">
        <v>9</v>
      </c>
      <c r="I331" s="38">
        <v>-468</v>
      </c>
      <c r="J331" s="38">
        <v>-10806.61</v>
      </c>
    </row>
    <row r="332" spans="2:10" ht="34.5" x14ac:dyDescent="0.25">
      <c r="B332" s="40" t="s">
        <v>337</v>
      </c>
      <c r="C332" s="40" t="s">
        <v>325</v>
      </c>
      <c r="D332" s="40">
        <v>20260618</v>
      </c>
      <c r="E332" s="40" t="s">
        <v>291</v>
      </c>
      <c r="F332" s="40" t="s">
        <v>550</v>
      </c>
      <c r="G332" s="40" t="s">
        <v>709</v>
      </c>
      <c r="H332" s="40" t="s">
        <v>162</v>
      </c>
      <c r="I332" s="38">
        <v>9.65</v>
      </c>
      <c r="J332" s="38">
        <v>-10796.96</v>
      </c>
    </row>
    <row r="333" spans="2:10" ht="34.5" x14ac:dyDescent="0.25">
      <c r="B333" s="40" t="s">
        <v>337</v>
      </c>
      <c r="C333" s="40" t="s">
        <v>325</v>
      </c>
      <c r="D333" s="40" t="s">
        <v>508</v>
      </c>
      <c r="E333" s="40" t="s">
        <v>291</v>
      </c>
      <c r="F333" s="40" t="s">
        <v>507</v>
      </c>
      <c r="G333" s="40" t="s">
        <v>708</v>
      </c>
      <c r="H333" s="40" t="s">
        <v>707</v>
      </c>
      <c r="I333" s="38">
        <v>18233.099999999999</v>
      </c>
      <c r="J333" s="38">
        <v>7436.14</v>
      </c>
    </row>
    <row r="334" spans="2:10" ht="23.25" x14ac:dyDescent="0.25">
      <c r="B334" s="40" t="s">
        <v>337</v>
      </c>
      <c r="C334" s="40" t="s">
        <v>678</v>
      </c>
      <c r="D334" s="40" t="s">
        <v>706</v>
      </c>
      <c r="E334" s="40" t="s">
        <v>291</v>
      </c>
      <c r="F334" s="40" t="s">
        <v>705</v>
      </c>
      <c r="G334" s="40"/>
      <c r="H334" s="40" t="s">
        <v>9</v>
      </c>
      <c r="I334" s="38">
        <v>-485</v>
      </c>
      <c r="J334" s="38">
        <v>6951.14</v>
      </c>
    </row>
    <row r="335" spans="2:10" ht="34.5" x14ac:dyDescent="0.25">
      <c r="B335" s="40" t="s">
        <v>337</v>
      </c>
      <c r="C335" s="40" t="s">
        <v>325</v>
      </c>
      <c r="D335" s="40">
        <v>1736</v>
      </c>
      <c r="E335" s="40" t="s">
        <v>291</v>
      </c>
      <c r="F335" s="40" t="s">
        <v>458</v>
      </c>
      <c r="G335" s="40" t="s">
        <v>704</v>
      </c>
      <c r="H335" s="40" t="s">
        <v>703</v>
      </c>
      <c r="I335" s="38">
        <v>1800</v>
      </c>
      <c r="J335" s="38">
        <v>8751.14</v>
      </c>
    </row>
    <row r="336" spans="2:10" ht="34.5" x14ac:dyDescent="0.25">
      <c r="B336" s="40" t="s">
        <v>337</v>
      </c>
      <c r="C336" s="40" t="s">
        <v>325</v>
      </c>
      <c r="D336" s="40">
        <v>360104</v>
      </c>
      <c r="E336" s="40" t="s">
        <v>291</v>
      </c>
      <c r="F336" s="40" t="s">
        <v>336</v>
      </c>
      <c r="G336" s="40" t="s">
        <v>702</v>
      </c>
      <c r="H336" s="40" t="s">
        <v>662</v>
      </c>
      <c r="I336" s="38">
        <v>165</v>
      </c>
      <c r="J336" s="38">
        <v>8916.14</v>
      </c>
    </row>
    <row r="337" spans="2:10" ht="34.5" x14ac:dyDescent="0.25">
      <c r="B337" s="40" t="s">
        <v>337</v>
      </c>
      <c r="C337" s="40" t="s">
        <v>325</v>
      </c>
      <c r="D337" s="40">
        <v>20260618</v>
      </c>
      <c r="E337" s="40" t="s">
        <v>291</v>
      </c>
      <c r="F337" s="40" t="s">
        <v>546</v>
      </c>
      <c r="G337" s="40" t="s">
        <v>701</v>
      </c>
      <c r="H337" s="40" t="s">
        <v>162</v>
      </c>
      <c r="I337" s="38">
        <v>18.649999999999999</v>
      </c>
      <c r="J337" s="38">
        <v>8934.7900000000009</v>
      </c>
    </row>
    <row r="338" spans="2:10" ht="34.5" x14ac:dyDescent="0.25">
      <c r="B338" s="40" t="s">
        <v>329</v>
      </c>
      <c r="C338" s="40" t="s">
        <v>325</v>
      </c>
      <c r="D338" s="40">
        <v>277</v>
      </c>
      <c r="E338" s="40" t="s">
        <v>291</v>
      </c>
      <c r="F338" s="40" t="s">
        <v>332</v>
      </c>
      <c r="G338" s="40" t="s">
        <v>700</v>
      </c>
      <c r="H338" s="40" t="s">
        <v>662</v>
      </c>
      <c r="I338" s="38">
        <v>333.72</v>
      </c>
      <c r="J338" s="38">
        <v>9268.51</v>
      </c>
    </row>
    <row r="339" spans="2:10" ht="23.25" x14ac:dyDescent="0.25">
      <c r="B339" s="40" t="s">
        <v>326</v>
      </c>
      <c r="C339" s="40" t="s">
        <v>678</v>
      </c>
      <c r="D339" s="40" t="s">
        <v>699</v>
      </c>
      <c r="E339" s="40" t="s">
        <v>291</v>
      </c>
      <c r="F339" s="40" t="s">
        <v>336</v>
      </c>
      <c r="G339" s="40"/>
      <c r="H339" s="40" t="s">
        <v>9</v>
      </c>
      <c r="I339" s="38">
        <v>-165</v>
      </c>
      <c r="J339" s="38">
        <v>9103.51</v>
      </c>
    </row>
    <row r="340" spans="2:10" ht="23.25" x14ac:dyDescent="0.25">
      <c r="B340" s="40" t="s">
        <v>326</v>
      </c>
      <c r="C340" s="40" t="s">
        <v>678</v>
      </c>
      <c r="D340" s="40" t="s">
        <v>698</v>
      </c>
      <c r="E340" s="40" t="s">
        <v>291</v>
      </c>
      <c r="F340" s="40" t="s">
        <v>336</v>
      </c>
      <c r="G340" s="40"/>
      <c r="H340" s="40" t="s">
        <v>9</v>
      </c>
      <c r="I340" s="38">
        <v>-137.9</v>
      </c>
      <c r="J340" s="38">
        <v>8965.61</v>
      </c>
    </row>
    <row r="341" spans="2:10" ht="23.25" x14ac:dyDescent="0.25">
      <c r="B341" s="40" t="s">
        <v>326</v>
      </c>
      <c r="C341" s="40" t="s">
        <v>678</v>
      </c>
      <c r="D341" s="40" t="s">
        <v>697</v>
      </c>
      <c r="E341" s="40" t="s">
        <v>291</v>
      </c>
      <c r="F341" s="40" t="s">
        <v>566</v>
      </c>
      <c r="G341" s="40"/>
      <c r="H341" s="40" t="s">
        <v>9</v>
      </c>
      <c r="I341" s="38">
        <v>-65</v>
      </c>
      <c r="J341" s="38">
        <v>8900.61</v>
      </c>
    </row>
    <row r="342" spans="2:10" ht="34.5" x14ac:dyDescent="0.25">
      <c r="B342" s="40" t="s">
        <v>326</v>
      </c>
      <c r="C342" s="40" t="s">
        <v>325</v>
      </c>
      <c r="D342" s="40">
        <v>31730461</v>
      </c>
      <c r="E342" s="40" t="s">
        <v>291</v>
      </c>
      <c r="F342" s="40" t="s">
        <v>324</v>
      </c>
      <c r="G342" s="40" t="s">
        <v>696</v>
      </c>
      <c r="H342" s="40" t="s">
        <v>662</v>
      </c>
      <c r="I342" s="38">
        <v>1344.42</v>
      </c>
      <c r="J342" s="38">
        <v>10245.030000000001</v>
      </c>
    </row>
    <row r="343" spans="2:10" ht="23.25" x14ac:dyDescent="0.25">
      <c r="B343" s="40" t="s">
        <v>326</v>
      </c>
      <c r="C343" s="40" t="s">
        <v>678</v>
      </c>
      <c r="D343" s="40" t="s">
        <v>695</v>
      </c>
      <c r="E343" s="40" t="s">
        <v>291</v>
      </c>
      <c r="F343" s="40" t="s">
        <v>546</v>
      </c>
      <c r="G343" s="40"/>
      <c r="H343" s="40" t="s">
        <v>9</v>
      </c>
      <c r="I343" s="38">
        <v>-18.649999999999999</v>
      </c>
      <c r="J343" s="38">
        <v>10226.379999999999</v>
      </c>
    </row>
    <row r="344" spans="2:10" ht="23.25" x14ac:dyDescent="0.25">
      <c r="B344" s="40" t="s">
        <v>326</v>
      </c>
      <c r="C344" s="40" t="s">
        <v>678</v>
      </c>
      <c r="D344" s="40" t="s">
        <v>694</v>
      </c>
      <c r="E344" s="40" t="s">
        <v>291</v>
      </c>
      <c r="F344" s="40" t="s">
        <v>458</v>
      </c>
      <c r="G344" s="40"/>
      <c r="H344" s="40" t="s">
        <v>9</v>
      </c>
      <c r="I344" s="38">
        <v>-1800</v>
      </c>
      <c r="J344" s="38">
        <v>8426.3799999999992</v>
      </c>
    </row>
    <row r="345" spans="2:10" ht="34.5" x14ac:dyDescent="0.25">
      <c r="B345" s="40" t="s">
        <v>326</v>
      </c>
      <c r="C345" s="40" t="s">
        <v>325</v>
      </c>
      <c r="D345" s="40" t="s">
        <v>488</v>
      </c>
      <c r="E345" s="40" t="s">
        <v>291</v>
      </c>
      <c r="F345" s="40" t="s">
        <v>487</v>
      </c>
      <c r="G345" s="40" t="s">
        <v>693</v>
      </c>
      <c r="H345" s="40" t="s">
        <v>692</v>
      </c>
      <c r="I345" s="38">
        <v>1282.5</v>
      </c>
      <c r="J345" s="38">
        <v>9708.8799999999992</v>
      </c>
    </row>
    <row r="346" spans="2:10" ht="23.25" x14ac:dyDescent="0.25">
      <c r="B346" s="40" t="s">
        <v>326</v>
      </c>
      <c r="C346" s="40" t="s">
        <v>678</v>
      </c>
      <c r="D346" s="40" t="s">
        <v>691</v>
      </c>
      <c r="E346" s="40" t="s">
        <v>291</v>
      </c>
      <c r="F346" s="40" t="s">
        <v>490</v>
      </c>
      <c r="G346" s="40"/>
      <c r="H346" s="40" t="s">
        <v>9</v>
      </c>
      <c r="I346" s="38">
        <v>-2000</v>
      </c>
      <c r="J346" s="38">
        <v>7708.88</v>
      </c>
    </row>
    <row r="347" spans="2:10" ht="23.25" x14ac:dyDescent="0.25">
      <c r="B347" s="40" t="s">
        <v>326</v>
      </c>
      <c r="C347" s="40" t="s">
        <v>678</v>
      </c>
      <c r="D347" s="40" t="s">
        <v>690</v>
      </c>
      <c r="E347" s="40" t="s">
        <v>291</v>
      </c>
      <c r="F347" s="40" t="s">
        <v>436</v>
      </c>
      <c r="G347" s="40"/>
      <c r="H347" s="40" t="s">
        <v>9</v>
      </c>
      <c r="I347" s="38">
        <v>-292.83</v>
      </c>
      <c r="J347" s="38">
        <v>7416.05</v>
      </c>
    </row>
    <row r="348" spans="2:10" ht="23.25" x14ac:dyDescent="0.25">
      <c r="B348" s="40" t="s">
        <v>376</v>
      </c>
      <c r="C348" s="40" t="s">
        <v>678</v>
      </c>
      <c r="D348" s="40" t="s">
        <v>689</v>
      </c>
      <c r="E348" s="40" t="s">
        <v>291</v>
      </c>
      <c r="F348" s="40" t="s">
        <v>464</v>
      </c>
      <c r="G348" s="40"/>
      <c r="H348" s="40" t="s">
        <v>9</v>
      </c>
      <c r="I348" s="38">
        <v>-781.79</v>
      </c>
      <c r="J348" s="38">
        <v>6634.26</v>
      </c>
    </row>
    <row r="349" spans="2:10" ht="34.5" x14ac:dyDescent="0.25">
      <c r="B349" s="40" t="s">
        <v>322</v>
      </c>
      <c r="C349" s="40" t="s">
        <v>325</v>
      </c>
      <c r="D349" s="40">
        <v>20260624</v>
      </c>
      <c r="E349" s="40" t="s">
        <v>291</v>
      </c>
      <c r="F349" s="40" t="s">
        <v>540</v>
      </c>
      <c r="G349" s="40" t="s">
        <v>688</v>
      </c>
      <c r="H349" s="40" t="s">
        <v>162</v>
      </c>
      <c r="I349" s="38">
        <v>16.25</v>
      </c>
      <c r="J349" s="38">
        <v>6650.51</v>
      </c>
    </row>
    <row r="350" spans="2:10" ht="23.25" x14ac:dyDescent="0.25">
      <c r="B350" s="40" t="s">
        <v>322</v>
      </c>
      <c r="C350" s="40" t="s">
        <v>678</v>
      </c>
      <c r="D350" s="40" t="s">
        <v>687</v>
      </c>
      <c r="E350" s="40" t="s">
        <v>291</v>
      </c>
      <c r="F350" s="40" t="s">
        <v>434</v>
      </c>
      <c r="G350" s="40"/>
      <c r="H350" s="40" t="s">
        <v>9</v>
      </c>
      <c r="I350" s="38">
        <v>-2169.06</v>
      </c>
      <c r="J350" s="38">
        <v>4481.45</v>
      </c>
    </row>
    <row r="351" spans="2:10" ht="23.25" x14ac:dyDescent="0.25">
      <c r="B351" s="40" t="s">
        <v>322</v>
      </c>
      <c r="C351" s="40" t="s">
        <v>678</v>
      </c>
      <c r="D351" s="40" t="s">
        <v>686</v>
      </c>
      <c r="E351" s="40" t="s">
        <v>291</v>
      </c>
      <c r="F351" s="40" t="s">
        <v>540</v>
      </c>
      <c r="G351" s="40"/>
      <c r="H351" s="40" t="s">
        <v>9</v>
      </c>
      <c r="I351" s="38">
        <v>-195</v>
      </c>
      <c r="J351" s="38">
        <v>4286.45</v>
      </c>
    </row>
    <row r="352" spans="2:10" ht="34.5" x14ac:dyDescent="0.25">
      <c r="B352" s="40" t="s">
        <v>371</v>
      </c>
      <c r="C352" s="40" t="s">
        <v>325</v>
      </c>
      <c r="D352" s="40">
        <v>20260625</v>
      </c>
      <c r="E352" s="40" t="s">
        <v>291</v>
      </c>
      <c r="F352" s="40" t="s">
        <v>542</v>
      </c>
      <c r="G352" s="40" t="s">
        <v>685</v>
      </c>
      <c r="H352" s="39" t="s">
        <v>289</v>
      </c>
      <c r="I352" s="38">
        <v>97.5</v>
      </c>
      <c r="J352" s="38">
        <v>4383.95</v>
      </c>
    </row>
    <row r="353" spans="1:10" ht="34.5" x14ac:dyDescent="0.25">
      <c r="B353" s="40" t="s">
        <v>371</v>
      </c>
      <c r="C353" s="40" t="s">
        <v>325</v>
      </c>
      <c r="D353" s="40">
        <v>20260625</v>
      </c>
      <c r="E353" s="40" t="s">
        <v>291</v>
      </c>
      <c r="F353" s="40" t="s">
        <v>548</v>
      </c>
      <c r="G353" s="40" t="s">
        <v>684</v>
      </c>
      <c r="H353" s="40" t="s">
        <v>162</v>
      </c>
      <c r="I353" s="38">
        <v>65</v>
      </c>
      <c r="J353" s="38">
        <v>4448.95</v>
      </c>
    </row>
    <row r="354" spans="1:10" ht="34.5" x14ac:dyDescent="0.25">
      <c r="B354" s="40" t="s">
        <v>371</v>
      </c>
      <c r="C354" s="40" t="s">
        <v>325</v>
      </c>
      <c r="D354" s="40">
        <v>20260625</v>
      </c>
      <c r="E354" s="40" t="s">
        <v>291</v>
      </c>
      <c r="F354" s="40" t="s">
        <v>544</v>
      </c>
      <c r="G354" s="40" t="s">
        <v>683</v>
      </c>
      <c r="H354" s="40" t="s">
        <v>162</v>
      </c>
      <c r="I354" s="38">
        <v>65</v>
      </c>
      <c r="J354" s="38">
        <v>4513.95</v>
      </c>
    </row>
    <row r="355" spans="1:10" ht="34.5" x14ac:dyDescent="0.25">
      <c r="B355" s="40" t="s">
        <v>371</v>
      </c>
      <c r="C355" s="40" t="s">
        <v>325</v>
      </c>
      <c r="D355" s="40">
        <v>20260625</v>
      </c>
      <c r="E355" s="40" t="s">
        <v>291</v>
      </c>
      <c r="F355" s="40" t="s">
        <v>543</v>
      </c>
      <c r="G355" s="40" t="s">
        <v>682</v>
      </c>
      <c r="H355" s="40" t="s">
        <v>162</v>
      </c>
      <c r="I355" s="38">
        <v>5.17</v>
      </c>
      <c r="J355" s="38">
        <v>4519.12</v>
      </c>
    </row>
    <row r="356" spans="1:10" ht="34.5" x14ac:dyDescent="0.25">
      <c r="B356" s="40" t="s">
        <v>371</v>
      </c>
      <c r="C356" s="40" t="s">
        <v>325</v>
      </c>
      <c r="D356" s="40">
        <v>20260625</v>
      </c>
      <c r="E356" s="40" t="s">
        <v>291</v>
      </c>
      <c r="F356" s="40" t="s">
        <v>540</v>
      </c>
      <c r="G356" s="40" t="s">
        <v>681</v>
      </c>
      <c r="H356" s="40" t="s">
        <v>162</v>
      </c>
      <c r="I356" s="38">
        <v>16.25</v>
      </c>
      <c r="J356" s="38">
        <v>4535.37</v>
      </c>
    </row>
    <row r="357" spans="1:10" ht="34.5" x14ac:dyDescent="0.25">
      <c r="B357" s="40" t="s">
        <v>371</v>
      </c>
      <c r="C357" s="40" t="s">
        <v>325</v>
      </c>
      <c r="D357" s="40">
        <v>20260625</v>
      </c>
      <c r="E357" s="40" t="s">
        <v>291</v>
      </c>
      <c r="F357" s="40" t="s">
        <v>546</v>
      </c>
      <c r="G357" s="40" t="s">
        <v>680</v>
      </c>
      <c r="H357" s="40" t="s">
        <v>162</v>
      </c>
      <c r="I357" s="38">
        <v>32.5</v>
      </c>
      <c r="J357" s="38">
        <v>4567.87</v>
      </c>
    </row>
    <row r="358" spans="1:10" ht="23.25" x14ac:dyDescent="0.25">
      <c r="B358" s="40" t="s">
        <v>368</v>
      </c>
      <c r="C358" s="40" t="s">
        <v>678</v>
      </c>
      <c r="D358" s="40" t="s">
        <v>679</v>
      </c>
      <c r="E358" s="40" t="s">
        <v>291</v>
      </c>
      <c r="F358" s="40" t="s">
        <v>341</v>
      </c>
      <c r="G358" s="40"/>
      <c r="H358" s="40" t="s">
        <v>9</v>
      </c>
      <c r="I358" s="38">
        <v>-1124.76</v>
      </c>
      <c r="J358" s="38">
        <v>3443.11</v>
      </c>
    </row>
    <row r="359" spans="1:10" x14ac:dyDescent="0.25">
      <c r="B359" s="40" t="s">
        <v>368</v>
      </c>
      <c r="C359" s="40" t="s">
        <v>678</v>
      </c>
      <c r="D359" s="40" t="s">
        <v>677</v>
      </c>
      <c r="E359" s="40" t="s">
        <v>291</v>
      </c>
      <c r="F359" s="40" t="s">
        <v>487</v>
      </c>
      <c r="G359" s="40"/>
      <c r="H359" s="40" t="s">
        <v>9</v>
      </c>
      <c r="I359" s="38">
        <v>-1282.5</v>
      </c>
      <c r="J359" s="38">
        <v>2160.61</v>
      </c>
    </row>
    <row r="360" spans="1:10" x14ac:dyDescent="0.25">
      <c r="A360" s="24" t="s">
        <v>676</v>
      </c>
      <c r="I360" s="37">
        <v>722.81</v>
      </c>
    </row>
    <row r="361" spans="1:10" x14ac:dyDescent="0.25">
      <c r="A361" s="24" t="s">
        <v>675</v>
      </c>
    </row>
    <row r="362" spans="1:10" x14ac:dyDescent="0.25">
      <c r="B362" s="40" t="s">
        <v>301</v>
      </c>
      <c r="J362" s="38">
        <v>-586.82000000000005</v>
      </c>
    </row>
    <row r="363" spans="1:10" x14ac:dyDescent="0.25">
      <c r="A363" s="24" t="s">
        <v>674</v>
      </c>
      <c r="I363" s="37" t="s">
        <v>299</v>
      </c>
    </row>
    <row r="364" spans="1:10" x14ac:dyDescent="0.25">
      <c r="A364" s="24" t="s">
        <v>673</v>
      </c>
      <c r="I364" s="37">
        <v>722.81</v>
      </c>
    </row>
    <row r="365" spans="1:10" x14ac:dyDescent="0.25">
      <c r="A365" s="24" t="s">
        <v>52</v>
      </c>
    </row>
    <row r="366" spans="1:10" x14ac:dyDescent="0.25">
      <c r="B366" s="40" t="s">
        <v>474</v>
      </c>
      <c r="J366" s="38">
        <v>159.97999999999999</v>
      </c>
    </row>
    <row r="367" spans="1:10" x14ac:dyDescent="0.25">
      <c r="B367" s="40" t="s">
        <v>315</v>
      </c>
      <c r="C367" s="40" t="s">
        <v>306</v>
      </c>
      <c r="D367" s="40"/>
      <c r="E367" s="40" t="s">
        <v>291</v>
      </c>
      <c r="F367" s="40" t="s">
        <v>314</v>
      </c>
      <c r="G367" s="40"/>
      <c r="H367" s="40" t="s">
        <v>665</v>
      </c>
      <c r="I367" s="38">
        <v>12.99</v>
      </c>
      <c r="J367" s="38">
        <v>172.97</v>
      </c>
    </row>
    <row r="368" spans="1:10" x14ac:dyDescent="0.25">
      <c r="B368" s="40" t="s">
        <v>345</v>
      </c>
      <c r="C368" s="40" t="s">
        <v>306</v>
      </c>
      <c r="D368" s="40"/>
      <c r="E368" s="40" t="s">
        <v>291</v>
      </c>
      <c r="F368" s="40" t="s">
        <v>396</v>
      </c>
      <c r="G368" s="40"/>
      <c r="H368" s="40" t="s">
        <v>672</v>
      </c>
      <c r="I368" s="38">
        <v>0.71</v>
      </c>
      <c r="J368" s="38">
        <v>173.68</v>
      </c>
    </row>
    <row r="369" spans="1:10" x14ac:dyDescent="0.25">
      <c r="B369" s="40" t="s">
        <v>477</v>
      </c>
      <c r="C369" s="40" t="s">
        <v>325</v>
      </c>
      <c r="D369" s="40">
        <v>20260614</v>
      </c>
      <c r="E369" s="40" t="s">
        <v>291</v>
      </c>
      <c r="F369" s="40" t="s">
        <v>396</v>
      </c>
      <c r="G369" s="40" t="s">
        <v>671</v>
      </c>
      <c r="H369" s="40" t="s">
        <v>47</v>
      </c>
      <c r="I369" s="38">
        <v>-173.68</v>
      </c>
      <c r="J369" s="38">
        <v>0</v>
      </c>
    </row>
    <row r="370" spans="1:10" x14ac:dyDescent="0.25">
      <c r="A370" s="24" t="s">
        <v>670</v>
      </c>
      <c r="I370" s="37">
        <v>-159.97999999999999</v>
      </c>
    </row>
    <row r="371" spans="1:10" x14ac:dyDescent="0.25">
      <c r="A371" s="24" t="s">
        <v>53</v>
      </c>
    </row>
    <row r="372" spans="1:10" x14ac:dyDescent="0.25">
      <c r="B372" s="40" t="s">
        <v>474</v>
      </c>
      <c r="J372" s="38">
        <v>3490.75</v>
      </c>
    </row>
    <row r="373" spans="1:10" x14ac:dyDescent="0.25">
      <c r="B373" s="40" t="s">
        <v>318</v>
      </c>
      <c r="C373" s="40" t="s">
        <v>306</v>
      </c>
      <c r="D373" s="40"/>
      <c r="E373" s="40" t="s">
        <v>291</v>
      </c>
      <c r="F373" s="40" t="s">
        <v>328</v>
      </c>
      <c r="G373" s="40" t="s">
        <v>309</v>
      </c>
      <c r="H373" s="40" t="s">
        <v>662</v>
      </c>
      <c r="I373" s="38">
        <v>104.85</v>
      </c>
      <c r="J373" s="38">
        <v>3595.6</v>
      </c>
    </row>
    <row r="374" spans="1:10" x14ac:dyDescent="0.25">
      <c r="B374" s="40" t="s">
        <v>318</v>
      </c>
      <c r="C374" s="40" t="s">
        <v>306</v>
      </c>
      <c r="D374" s="40"/>
      <c r="E374" s="40" t="s">
        <v>291</v>
      </c>
      <c r="F374" s="40" t="s">
        <v>483</v>
      </c>
      <c r="G374" s="40" t="s">
        <v>482</v>
      </c>
      <c r="H374" s="40" t="s">
        <v>669</v>
      </c>
      <c r="I374" s="38">
        <v>167</v>
      </c>
      <c r="J374" s="38">
        <v>3762.6</v>
      </c>
    </row>
    <row r="375" spans="1:10" x14ac:dyDescent="0.25">
      <c r="B375" s="40" t="s">
        <v>318</v>
      </c>
      <c r="C375" s="40" t="s">
        <v>306</v>
      </c>
      <c r="D375" s="40"/>
      <c r="E375" s="40" t="s">
        <v>291</v>
      </c>
      <c r="F375" s="40" t="s">
        <v>342</v>
      </c>
      <c r="G375" s="40" t="s">
        <v>309</v>
      </c>
      <c r="H375" s="40" t="s">
        <v>662</v>
      </c>
      <c r="I375" s="38">
        <v>320.52999999999997</v>
      </c>
      <c r="J375" s="38">
        <v>4083.13</v>
      </c>
    </row>
    <row r="376" spans="1:10" x14ac:dyDescent="0.25">
      <c r="B376" s="40" t="s">
        <v>412</v>
      </c>
      <c r="C376" s="40" t="s">
        <v>306</v>
      </c>
      <c r="D376" s="40"/>
      <c r="E376" s="40" t="s">
        <v>291</v>
      </c>
      <c r="F376" s="40" t="s">
        <v>476</v>
      </c>
      <c r="G376" s="40" t="s">
        <v>311</v>
      </c>
      <c r="H376" s="40" t="s">
        <v>660</v>
      </c>
      <c r="I376" s="38">
        <v>27</v>
      </c>
      <c r="J376" s="38">
        <v>4110.13</v>
      </c>
    </row>
    <row r="377" spans="1:10" x14ac:dyDescent="0.25">
      <c r="B377" s="40" t="s">
        <v>353</v>
      </c>
      <c r="C377" s="40" t="s">
        <v>306</v>
      </c>
      <c r="D377" s="40"/>
      <c r="E377" s="40" t="s">
        <v>291</v>
      </c>
      <c r="F377" s="40" t="s">
        <v>344</v>
      </c>
      <c r="G377" s="40" t="s">
        <v>309</v>
      </c>
      <c r="H377" s="40" t="s">
        <v>662</v>
      </c>
      <c r="I377" s="38">
        <v>76.98</v>
      </c>
      <c r="J377" s="38">
        <v>4187.1099999999997</v>
      </c>
    </row>
    <row r="378" spans="1:10" x14ac:dyDescent="0.25">
      <c r="B378" s="40" t="s">
        <v>351</v>
      </c>
      <c r="C378" s="40" t="s">
        <v>306</v>
      </c>
      <c r="D378" s="40"/>
      <c r="E378" s="40" t="s">
        <v>291</v>
      </c>
      <c r="F378" s="40" t="s">
        <v>440</v>
      </c>
      <c r="G378" s="40" t="s">
        <v>444</v>
      </c>
      <c r="H378" s="40" t="s">
        <v>668</v>
      </c>
      <c r="I378" s="38">
        <v>139</v>
      </c>
      <c r="J378" s="38">
        <v>4326.1099999999997</v>
      </c>
    </row>
    <row r="379" spans="1:10" x14ac:dyDescent="0.25">
      <c r="B379" s="40" t="s">
        <v>351</v>
      </c>
      <c r="C379" s="40" t="s">
        <v>306</v>
      </c>
      <c r="D379" s="40"/>
      <c r="E379" s="40" t="s">
        <v>291</v>
      </c>
      <c r="F379" s="40" t="s">
        <v>352</v>
      </c>
      <c r="G379" s="40" t="s">
        <v>327</v>
      </c>
      <c r="H379" s="40" t="s">
        <v>662</v>
      </c>
      <c r="I379" s="38">
        <v>1586</v>
      </c>
      <c r="J379" s="38">
        <v>5912.11</v>
      </c>
    </row>
    <row r="380" spans="1:10" x14ac:dyDescent="0.25">
      <c r="B380" s="40" t="s">
        <v>351</v>
      </c>
      <c r="C380" s="40" t="s">
        <v>441</v>
      </c>
      <c r="D380" s="40"/>
      <c r="E380" s="40" t="s">
        <v>291</v>
      </c>
      <c r="F380" s="40" t="s">
        <v>440</v>
      </c>
      <c r="G380" s="40" t="s">
        <v>439</v>
      </c>
      <c r="H380" s="40" t="s">
        <v>668</v>
      </c>
      <c r="I380" s="38">
        <v>-14.99</v>
      </c>
      <c r="J380" s="38">
        <v>5897.12</v>
      </c>
    </row>
    <row r="381" spans="1:10" x14ac:dyDescent="0.25">
      <c r="B381" s="40" t="s">
        <v>351</v>
      </c>
      <c r="C381" s="40" t="s">
        <v>306</v>
      </c>
      <c r="D381" s="40"/>
      <c r="E381" s="40" t="s">
        <v>291</v>
      </c>
      <c r="F381" s="40" t="s">
        <v>443</v>
      </c>
      <c r="G381" s="40" t="s">
        <v>442</v>
      </c>
      <c r="H381" s="40" t="s">
        <v>668</v>
      </c>
      <c r="I381" s="38">
        <v>1030</v>
      </c>
      <c r="J381" s="38">
        <v>6927.12</v>
      </c>
    </row>
    <row r="382" spans="1:10" x14ac:dyDescent="0.25">
      <c r="B382" s="40" t="s">
        <v>351</v>
      </c>
      <c r="C382" s="40" t="s">
        <v>306</v>
      </c>
      <c r="D382" s="40"/>
      <c r="E382" s="40" t="s">
        <v>291</v>
      </c>
      <c r="F382" s="40" t="s">
        <v>344</v>
      </c>
      <c r="G382" s="40" t="s">
        <v>304</v>
      </c>
      <c r="H382" s="40" t="s">
        <v>662</v>
      </c>
      <c r="I382" s="38">
        <v>20.88</v>
      </c>
      <c r="J382" s="38">
        <v>6948</v>
      </c>
    </row>
    <row r="383" spans="1:10" x14ac:dyDescent="0.25">
      <c r="B383" s="40" t="s">
        <v>315</v>
      </c>
      <c r="C383" s="40" t="s">
        <v>306</v>
      </c>
      <c r="D383" s="40"/>
      <c r="E383" s="40" t="s">
        <v>291</v>
      </c>
      <c r="F383" s="40" t="s">
        <v>342</v>
      </c>
      <c r="G383" s="40" t="s">
        <v>309</v>
      </c>
      <c r="H383" s="40" t="s">
        <v>662</v>
      </c>
      <c r="I383" s="38">
        <v>97.76</v>
      </c>
      <c r="J383" s="38">
        <v>7045.76</v>
      </c>
    </row>
    <row r="384" spans="1:10" x14ac:dyDescent="0.25">
      <c r="B384" s="40" t="s">
        <v>315</v>
      </c>
      <c r="C384" s="40" t="s">
        <v>306</v>
      </c>
      <c r="D384" s="40"/>
      <c r="E384" s="40" t="s">
        <v>291</v>
      </c>
      <c r="F384" s="40" t="s">
        <v>328</v>
      </c>
      <c r="G384" s="40" t="s">
        <v>309</v>
      </c>
      <c r="H384" s="40" t="s">
        <v>662</v>
      </c>
      <c r="I384" s="38">
        <v>104.85</v>
      </c>
      <c r="J384" s="38">
        <v>7150.61</v>
      </c>
    </row>
    <row r="385" spans="2:10" x14ac:dyDescent="0.25">
      <c r="B385" s="40" t="s">
        <v>350</v>
      </c>
      <c r="C385" s="40" t="s">
        <v>306</v>
      </c>
      <c r="D385" s="40"/>
      <c r="E385" s="40" t="s">
        <v>291</v>
      </c>
      <c r="F385" s="40" t="s">
        <v>476</v>
      </c>
      <c r="G385" s="40" t="s">
        <v>311</v>
      </c>
      <c r="H385" s="40" t="s">
        <v>660</v>
      </c>
      <c r="I385" s="38">
        <v>19.47</v>
      </c>
      <c r="J385" s="38">
        <v>7170.08</v>
      </c>
    </row>
    <row r="386" spans="2:10" x14ac:dyDescent="0.25">
      <c r="B386" s="40" t="s">
        <v>346</v>
      </c>
      <c r="C386" s="40" t="s">
        <v>306</v>
      </c>
      <c r="D386" s="40"/>
      <c r="E386" s="40" t="s">
        <v>291</v>
      </c>
      <c r="F386" s="40" t="s">
        <v>333</v>
      </c>
      <c r="G386" s="40" t="s">
        <v>309</v>
      </c>
      <c r="H386" s="40" t="s">
        <v>662</v>
      </c>
      <c r="I386" s="38">
        <v>111.24</v>
      </c>
      <c r="J386" s="38">
        <v>7281.32</v>
      </c>
    </row>
    <row r="387" spans="2:10" x14ac:dyDescent="0.25">
      <c r="B387" s="40" t="s">
        <v>346</v>
      </c>
      <c r="C387" s="40" t="s">
        <v>306</v>
      </c>
      <c r="D387" s="40"/>
      <c r="E387" s="40" t="s">
        <v>291</v>
      </c>
      <c r="F387" s="40" t="s">
        <v>321</v>
      </c>
      <c r="G387" s="40" t="s">
        <v>327</v>
      </c>
      <c r="H387" s="40" t="s">
        <v>662</v>
      </c>
      <c r="I387" s="38">
        <v>4.84</v>
      </c>
      <c r="J387" s="38">
        <v>7286.16</v>
      </c>
    </row>
    <row r="388" spans="2:10" x14ac:dyDescent="0.25">
      <c r="B388" s="40" t="s">
        <v>346</v>
      </c>
      <c r="C388" s="40" t="s">
        <v>306</v>
      </c>
      <c r="D388" s="40"/>
      <c r="E388" s="40" t="s">
        <v>291</v>
      </c>
      <c r="F388" s="40" t="s">
        <v>473</v>
      </c>
      <c r="G388" s="40" t="s">
        <v>311</v>
      </c>
      <c r="H388" s="40" t="s">
        <v>146</v>
      </c>
      <c r="I388" s="38">
        <v>22</v>
      </c>
      <c r="J388" s="38">
        <v>7308.16</v>
      </c>
    </row>
    <row r="389" spans="2:10" x14ac:dyDescent="0.25">
      <c r="B389" s="40" t="s">
        <v>346</v>
      </c>
      <c r="C389" s="40" t="s">
        <v>306</v>
      </c>
      <c r="D389" s="40"/>
      <c r="E389" s="40" t="s">
        <v>291</v>
      </c>
      <c r="F389" s="40" t="s">
        <v>344</v>
      </c>
      <c r="G389" s="40" t="s">
        <v>309</v>
      </c>
      <c r="H389" s="40" t="s">
        <v>662</v>
      </c>
      <c r="I389" s="38">
        <v>12.99</v>
      </c>
      <c r="J389" s="38">
        <v>7321.15</v>
      </c>
    </row>
    <row r="390" spans="2:10" x14ac:dyDescent="0.25">
      <c r="B390" s="40" t="s">
        <v>345</v>
      </c>
      <c r="C390" s="40" t="s">
        <v>306</v>
      </c>
      <c r="D390" s="40"/>
      <c r="E390" s="40" t="s">
        <v>291</v>
      </c>
      <c r="F390" s="40" t="s">
        <v>344</v>
      </c>
      <c r="G390" s="40" t="s">
        <v>309</v>
      </c>
      <c r="H390" s="40" t="s">
        <v>662</v>
      </c>
      <c r="I390" s="38">
        <v>34.99</v>
      </c>
      <c r="J390" s="38">
        <v>7356.14</v>
      </c>
    </row>
    <row r="391" spans="2:10" x14ac:dyDescent="0.25">
      <c r="B391" s="40" t="s">
        <v>345</v>
      </c>
      <c r="C391" s="40" t="s">
        <v>306</v>
      </c>
      <c r="D391" s="40"/>
      <c r="E391" s="40" t="s">
        <v>291</v>
      </c>
      <c r="F391" s="40" t="s">
        <v>344</v>
      </c>
      <c r="G391" s="40" t="s">
        <v>309</v>
      </c>
      <c r="H391" s="40" t="s">
        <v>662</v>
      </c>
      <c r="I391" s="38">
        <v>39.979999999999997</v>
      </c>
      <c r="J391" s="38">
        <v>7396.12</v>
      </c>
    </row>
    <row r="392" spans="2:10" x14ac:dyDescent="0.25">
      <c r="B392" s="40" t="s">
        <v>313</v>
      </c>
      <c r="C392" s="40" t="s">
        <v>306</v>
      </c>
      <c r="D392" s="40"/>
      <c r="E392" s="40" t="s">
        <v>291</v>
      </c>
      <c r="F392" s="40" t="s">
        <v>312</v>
      </c>
      <c r="G392" s="40" t="s">
        <v>311</v>
      </c>
      <c r="H392" s="40" t="s">
        <v>665</v>
      </c>
      <c r="I392" s="38">
        <v>44.99</v>
      </c>
      <c r="J392" s="38">
        <v>7441.11</v>
      </c>
    </row>
    <row r="393" spans="2:10" x14ac:dyDescent="0.25">
      <c r="B393" s="40" t="s">
        <v>477</v>
      </c>
      <c r="C393" s="40" t="s">
        <v>306</v>
      </c>
      <c r="D393" s="40"/>
      <c r="E393" s="40" t="s">
        <v>291</v>
      </c>
      <c r="F393" s="40" t="s">
        <v>476</v>
      </c>
      <c r="G393" s="40" t="s">
        <v>311</v>
      </c>
      <c r="H393" s="40" t="s">
        <v>660</v>
      </c>
      <c r="I393" s="38">
        <v>27</v>
      </c>
      <c r="J393" s="38">
        <v>7468.11</v>
      </c>
    </row>
    <row r="394" spans="2:10" x14ac:dyDescent="0.25">
      <c r="B394" s="40" t="s">
        <v>310</v>
      </c>
      <c r="C394" s="40" t="s">
        <v>306</v>
      </c>
      <c r="D394" s="40"/>
      <c r="E394" s="40" t="s">
        <v>291</v>
      </c>
      <c r="F394" s="40" t="s">
        <v>305</v>
      </c>
      <c r="G394" s="40" t="s">
        <v>309</v>
      </c>
      <c r="H394" s="40" t="s">
        <v>665</v>
      </c>
      <c r="I394" s="38">
        <v>19.989999999999998</v>
      </c>
      <c r="J394" s="38">
        <v>7488.1</v>
      </c>
    </row>
    <row r="395" spans="2:10" x14ac:dyDescent="0.25">
      <c r="B395" s="40" t="s">
        <v>343</v>
      </c>
      <c r="C395" s="40" t="s">
        <v>306</v>
      </c>
      <c r="D395" s="40"/>
      <c r="E395" s="40" t="s">
        <v>291</v>
      </c>
      <c r="F395" s="40" t="s">
        <v>342</v>
      </c>
      <c r="G395" s="40" t="s">
        <v>309</v>
      </c>
      <c r="H395" s="40" t="s">
        <v>662</v>
      </c>
      <c r="I395" s="38">
        <v>31.2</v>
      </c>
      <c r="J395" s="38">
        <v>7519.3</v>
      </c>
    </row>
    <row r="396" spans="2:10" x14ac:dyDescent="0.25">
      <c r="B396" s="40" t="s">
        <v>337</v>
      </c>
      <c r="C396" s="40" t="s">
        <v>306</v>
      </c>
      <c r="D396" s="40"/>
      <c r="E396" s="40" t="s">
        <v>291</v>
      </c>
      <c r="F396" s="40" t="s">
        <v>328</v>
      </c>
      <c r="G396" s="40" t="s">
        <v>309</v>
      </c>
      <c r="H396" s="40" t="s">
        <v>662</v>
      </c>
      <c r="I396" s="38">
        <v>104.85</v>
      </c>
      <c r="J396" s="38">
        <v>7624.15</v>
      </c>
    </row>
    <row r="397" spans="2:10" x14ac:dyDescent="0.25">
      <c r="B397" s="40" t="s">
        <v>337</v>
      </c>
      <c r="C397" s="40" t="s">
        <v>306</v>
      </c>
      <c r="D397" s="40"/>
      <c r="E397" s="40" t="s">
        <v>291</v>
      </c>
      <c r="F397" s="40" t="s">
        <v>453</v>
      </c>
      <c r="G397" s="40" t="s">
        <v>304</v>
      </c>
      <c r="H397" s="40" t="s">
        <v>663</v>
      </c>
      <c r="I397" s="38">
        <v>286.75</v>
      </c>
      <c r="J397" s="38">
        <v>7910.9</v>
      </c>
    </row>
    <row r="398" spans="2:10" x14ac:dyDescent="0.25">
      <c r="B398" s="40" t="s">
        <v>337</v>
      </c>
      <c r="C398" s="40" t="s">
        <v>306</v>
      </c>
      <c r="D398" s="40"/>
      <c r="E398" s="40" t="s">
        <v>291</v>
      </c>
      <c r="F398" s="40" t="s">
        <v>447</v>
      </c>
      <c r="G398" s="40" t="s">
        <v>304</v>
      </c>
      <c r="H398" s="40" t="s">
        <v>661</v>
      </c>
      <c r="I398" s="38">
        <v>10.44</v>
      </c>
      <c r="J398" s="38">
        <v>7921.34</v>
      </c>
    </row>
    <row r="399" spans="2:10" x14ac:dyDescent="0.25">
      <c r="B399" s="40" t="s">
        <v>337</v>
      </c>
      <c r="C399" s="40" t="s">
        <v>667</v>
      </c>
      <c r="D399" s="40"/>
      <c r="E399" s="40" t="s">
        <v>291</v>
      </c>
      <c r="F399" s="40"/>
      <c r="G399" s="40"/>
      <c r="H399" s="40" t="s">
        <v>9</v>
      </c>
      <c r="I399" s="38">
        <v>-7519.3</v>
      </c>
      <c r="J399" s="38">
        <v>402.04</v>
      </c>
    </row>
    <row r="400" spans="2:10" x14ac:dyDescent="0.25">
      <c r="B400" s="40" t="s">
        <v>334</v>
      </c>
      <c r="C400" s="40" t="s">
        <v>306</v>
      </c>
      <c r="D400" s="40"/>
      <c r="E400" s="40" t="s">
        <v>291</v>
      </c>
      <c r="F400" s="40" t="s">
        <v>344</v>
      </c>
      <c r="G400" s="40" t="s">
        <v>327</v>
      </c>
      <c r="H400" s="40" t="s">
        <v>666</v>
      </c>
      <c r="I400" s="38">
        <v>39.99</v>
      </c>
      <c r="J400" s="38">
        <v>442.03</v>
      </c>
    </row>
    <row r="401" spans="1:10" x14ac:dyDescent="0.25">
      <c r="B401" s="40" t="s">
        <v>334</v>
      </c>
      <c r="C401" s="40" t="s">
        <v>306</v>
      </c>
      <c r="D401" s="40"/>
      <c r="E401" s="40" t="s">
        <v>291</v>
      </c>
      <c r="F401" s="40" t="s">
        <v>476</v>
      </c>
      <c r="G401" s="40" t="s">
        <v>311</v>
      </c>
      <c r="H401" s="40" t="s">
        <v>660</v>
      </c>
      <c r="I401" s="38">
        <v>27</v>
      </c>
      <c r="J401" s="38">
        <v>469.03</v>
      </c>
    </row>
    <row r="402" spans="1:10" x14ac:dyDescent="0.25">
      <c r="B402" s="40" t="s">
        <v>334</v>
      </c>
      <c r="C402" s="40" t="s">
        <v>306</v>
      </c>
      <c r="D402" s="40"/>
      <c r="E402" s="40" t="s">
        <v>291</v>
      </c>
      <c r="F402" s="40" t="s">
        <v>333</v>
      </c>
      <c r="G402" s="40" t="s">
        <v>309</v>
      </c>
      <c r="H402" s="40" t="s">
        <v>662</v>
      </c>
      <c r="I402" s="38">
        <v>526.33000000000004</v>
      </c>
      <c r="J402" s="38">
        <v>995.36</v>
      </c>
    </row>
    <row r="403" spans="1:10" x14ac:dyDescent="0.25">
      <c r="B403" s="40" t="s">
        <v>329</v>
      </c>
      <c r="C403" s="40" t="s">
        <v>306</v>
      </c>
      <c r="D403" s="40"/>
      <c r="E403" s="40" t="s">
        <v>291</v>
      </c>
      <c r="F403" s="40" t="s">
        <v>330</v>
      </c>
      <c r="G403" s="40" t="s">
        <v>327</v>
      </c>
      <c r="H403" s="40" t="s">
        <v>662</v>
      </c>
      <c r="I403" s="38">
        <v>77.25</v>
      </c>
      <c r="J403" s="38">
        <v>1072.6099999999999</v>
      </c>
    </row>
    <row r="404" spans="1:10" x14ac:dyDescent="0.25">
      <c r="B404" s="40" t="s">
        <v>329</v>
      </c>
      <c r="C404" s="40" t="s">
        <v>306</v>
      </c>
      <c r="D404" s="40"/>
      <c r="E404" s="40" t="s">
        <v>291</v>
      </c>
      <c r="F404" s="40" t="s">
        <v>328</v>
      </c>
      <c r="G404" s="40" t="s">
        <v>327</v>
      </c>
      <c r="H404" s="40" t="s">
        <v>662</v>
      </c>
      <c r="I404" s="38">
        <v>6.49</v>
      </c>
      <c r="J404" s="38">
        <v>1079.0999999999999</v>
      </c>
    </row>
    <row r="405" spans="1:10" x14ac:dyDescent="0.25">
      <c r="B405" s="40" t="s">
        <v>307</v>
      </c>
      <c r="C405" s="40" t="s">
        <v>306</v>
      </c>
      <c r="D405" s="40"/>
      <c r="E405" s="40" t="s">
        <v>291</v>
      </c>
      <c r="F405" s="40" t="s">
        <v>308</v>
      </c>
      <c r="G405" s="40" t="s">
        <v>304</v>
      </c>
      <c r="H405" s="40" t="s">
        <v>665</v>
      </c>
      <c r="I405" s="38">
        <v>115</v>
      </c>
      <c r="J405" s="38">
        <v>1194.0999999999999</v>
      </c>
    </row>
    <row r="406" spans="1:10" x14ac:dyDescent="0.25">
      <c r="B406" s="40" t="s">
        <v>307</v>
      </c>
      <c r="C406" s="40" t="s">
        <v>306</v>
      </c>
      <c r="D406" s="40"/>
      <c r="E406" s="40" t="s">
        <v>291</v>
      </c>
      <c r="F406" s="40" t="s">
        <v>305</v>
      </c>
      <c r="G406" s="40" t="s">
        <v>304</v>
      </c>
      <c r="H406" s="40" t="s">
        <v>665</v>
      </c>
      <c r="I406" s="38">
        <v>19.989999999999998</v>
      </c>
      <c r="J406" s="38">
        <v>1214.0899999999999</v>
      </c>
    </row>
    <row r="407" spans="1:10" x14ac:dyDescent="0.25">
      <c r="B407" s="40" t="s">
        <v>326</v>
      </c>
      <c r="C407" s="40" t="s">
        <v>306</v>
      </c>
      <c r="D407" s="40"/>
      <c r="E407" s="40" t="s">
        <v>291</v>
      </c>
      <c r="F407" s="40" t="s">
        <v>462</v>
      </c>
      <c r="G407" s="40" t="s">
        <v>304</v>
      </c>
      <c r="H407" s="40" t="s">
        <v>664</v>
      </c>
      <c r="I407" s="38">
        <v>2008.58</v>
      </c>
      <c r="J407" s="38">
        <v>3222.67</v>
      </c>
    </row>
    <row r="408" spans="1:10" x14ac:dyDescent="0.25">
      <c r="B408" s="40" t="s">
        <v>376</v>
      </c>
      <c r="C408" s="40" t="s">
        <v>306</v>
      </c>
      <c r="D408" s="40"/>
      <c r="E408" s="40" t="s">
        <v>291</v>
      </c>
      <c r="F408" s="40" t="s">
        <v>452</v>
      </c>
      <c r="G408" s="40" t="s">
        <v>304</v>
      </c>
      <c r="H408" s="40" t="s">
        <v>663</v>
      </c>
      <c r="I408" s="38">
        <v>10</v>
      </c>
      <c r="J408" s="38">
        <v>3232.67</v>
      </c>
    </row>
    <row r="409" spans="1:10" x14ac:dyDescent="0.25">
      <c r="B409" s="40" t="s">
        <v>322</v>
      </c>
      <c r="C409" s="40" t="s">
        <v>306</v>
      </c>
      <c r="D409" s="40"/>
      <c r="E409" s="40" t="s">
        <v>291</v>
      </c>
      <c r="F409" s="40" t="s">
        <v>321</v>
      </c>
      <c r="G409" s="40" t="s">
        <v>309</v>
      </c>
      <c r="H409" s="40" t="s">
        <v>662</v>
      </c>
      <c r="I409" s="38">
        <v>111.26</v>
      </c>
      <c r="J409" s="38">
        <v>3343.93</v>
      </c>
    </row>
    <row r="410" spans="1:10" x14ac:dyDescent="0.25">
      <c r="B410" s="40" t="s">
        <v>322</v>
      </c>
      <c r="C410" s="40" t="s">
        <v>306</v>
      </c>
      <c r="D410" s="40"/>
      <c r="E410" s="40" t="s">
        <v>291</v>
      </c>
      <c r="F410" s="40" t="s">
        <v>447</v>
      </c>
      <c r="G410" s="40" t="s">
        <v>311</v>
      </c>
      <c r="H410" s="40" t="s">
        <v>661</v>
      </c>
      <c r="I410" s="38">
        <v>247.1</v>
      </c>
      <c r="J410" s="38">
        <v>3591.03</v>
      </c>
    </row>
    <row r="411" spans="1:10" x14ac:dyDescent="0.25">
      <c r="B411" s="40" t="s">
        <v>322</v>
      </c>
      <c r="C411" s="40" t="s">
        <v>293</v>
      </c>
      <c r="D411" s="40"/>
      <c r="E411" s="40" t="s">
        <v>291</v>
      </c>
      <c r="F411" s="40"/>
      <c r="G411" s="40" t="s">
        <v>605</v>
      </c>
      <c r="H411" s="39" t="s">
        <v>289</v>
      </c>
      <c r="I411" s="38">
        <v>-114.77</v>
      </c>
      <c r="J411" s="38">
        <v>3476.26</v>
      </c>
    </row>
    <row r="412" spans="1:10" x14ac:dyDescent="0.25">
      <c r="B412" s="40" t="s">
        <v>371</v>
      </c>
      <c r="C412" s="40" t="s">
        <v>306</v>
      </c>
      <c r="D412" s="40"/>
      <c r="E412" s="40" t="s">
        <v>291</v>
      </c>
      <c r="F412" s="40" t="s">
        <v>476</v>
      </c>
      <c r="G412" s="40" t="s">
        <v>311</v>
      </c>
      <c r="H412" s="40" t="s">
        <v>660</v>
      </c>
      <c r="I412" s="38">
        <v>27</v>
      </c>
      <c r="J412" s="38">
        <v>3503.26</v>
      </c>
    </row>
    <row r="413" spans="1:10" x14ac:dyDescent="0.25">
      <c r="B413" s="40" t="s">
        <v>294</v>
      </c>
      <c r="C413" s="40" t="s">
        <v>306</v>
      </c>
      <c r="D413" s="40"/>
      <c r="E413" s="40" t="s">
        <v>291</v>
      </c>
      <c r="F413" s="40" t="s">
        <v>476</v>
      </c>
      <c r="G413" s="40" t="s">
        <v>311</v>
      </c>
      <c r="H413" s="40" t="s">
        <v>660</v>
      </c>
      <c r="I413" s="38">
        <v>27</v>
      </c>
      <c r="J413" s="38">
        <v>3530.26</v>
      </c>
    </row>
    <row r="414" spans="1:10" x14ac:dyDescent="0.25">
      <c r="A414" s="24" t="s">
        <v>659</v>
      </c>
      <c r="I414" s="37">
        <v>39.51</v>
      </c>
    </row>
    <row r="415" spans="1:10" x14ac:dyDescent="0.25">
      <c r="A415" s="24" t="s">
        <v>59</v>
      </c>
    </row>
    <row r="416" spans="1:10" x14ac:dyDescent="0.25">
      <c r="B416" s="40" t="s">
        <v>474</v>
      </c>
      <c r="J416" s="38">
        <v>15271.23</v>
      </c>
    </row>
    <row r="417" spans="1:10" x14ac:dyDescent="0.25">
      <c r="A417" s="24" t="s">
        <v>658</v>
      </c>
      <c r="I417" s="37"/>
    </row>
    <row r="418" spans="1:10" x14ac:dyDescent="0.25">
      <c r="A418" s="24" t="s">
        <v>60</v>
      </c>
    </row>
    <row r="419" spans="1:10" x14ac:dyDescent="0.25">
      <c r="A419" s="24" t="s">
        <v>657</v>
      </c>
    </row>
    <row r="420" spans="1:10" x14ac:dyDescent="0.25">
      <c r="B420" s="40" t="s">
        <v>412</v>
      </c>
      <c r="C420" s="40" t="s">
        <v>293</v>
      </c>
      <c r="D420" s="40" t="s">
        <v>317</v>
      </c>
      <c r="E420" s="40" t="s">
        <v>291</v>
      </c>
      <c r="F420" s="40"/>
      <c r="G420" s="40" t="s">
        <v>656</v>
      </c>
      <c r="H420" s="39" t="s">
        <v>289</v>
      </c>
      <c r="I420" s="38">
        <v>393.66</v>
      </c>
      <c r="J420" s="38">
        <v>393.66</v>
      </c>
    </row>
    <row r="421" spans="1:10" x14ac:dyDescent="0.25">
      <c r="A421" s="24" t="s">
        <v>655</v>
      </c>
      <c r="I421" s="37">
        <v>393.66</v>
      </c>
    </row>
    <row r="422" spans="1:10" x14ac:dyDescent="0.25">
      <c r="A422" s="24" t="s">
        <v>66</v>
      </c>
      <c r="I422" s="37">
        <v>393.66</v>
      </c>
    </row>
    <row r="423" spans="1:10" x14ac:dyDescent="0.25">
      <c r="A423" s="24" t="s">
        <v>67</v>
      </c>
    </row>
    <row r="424" spans="1:10" x14ac:dyDescent="0.25">
      <c r="B424" s="40" t="s">
        <v>474</v>
      </c>
      <c r="J424" s="38">
        <v>24114</v>
      </c>
    </row>
    <row r="425" spans="1:10" x14ac:dyDescent="0.25">
      <c r="A425" s="24" t="s">
        <v>654</v>
      </c>
      <c r="I425" s="37"/>
    </row>
    <row r="426" spans="1:10" x14ac:dyDescent="0.25">
      <c r="A426" s="24" t="s">
        <v>57</v>
      </c>
    </row>
    <row r="427" spans="1:10" x14ac:dyDescent="0.25">
      <c r="B427" s="40" t="s">
        <v>474</v>
      </c>
      <c r="J427" s="38">
        <v>484.54</v>
      </c>
    </row>
    <row r="428" spans="1:10" x14ac:dyDescent="0.25">
      <c r="B428" s="40" t="s">
        <v>412</v>
      </c>
      <c r="C428" s="40" t="s">
        <v>293</v>
      </c>
      <c r="D428" s="40" t="s">
        <v>317</v>
      </c>
      <c r="E428" s="40" t="s">
        <v>291</v>
      </c>
      <c r="F428" s="40"/>
      <c r="G428" s="40" t="s">
        <v>652</v>
      </c>
      <c r="H428" s="39" t="s">
        <v>289</v>
      </c>
      <c r="I428" s="38">
        <v>1469.7</v>
      </c>
      <c r="J428" s="38">
        <v>1954.24</v>
      </c>
    </row>
    <row r="429" spans="1:10" x14ac:dyDescent="0.25">
      <c r="B429" s="40" t="s">
        <v>351</v>
      </c>
      <c r="C429" s="40" t="s">
        <v>306</v>
      </c>
      <c r="D429" s="40"/>
      <c r="E429" s="40" t="s">
        <v>291</v>
      </c>
      <c r="F429" s="40" t="s">
        <v>651</v>
      </c>
      <c r="G429" s="39" t="s">
        <v>653</v>
      </c>
      <c r="H429" s="40" t="s">
        <v>9</v>
      </c>
      <c r="I429" s="38">
        <v>-1469.7</v>
      </c>
      <c r="J429" s="38">
        <v>484.54</v>
      </c>
    </row>
    <row r="430" spans="1:10" x14ac:dyDescent="0.25">
      <c r="B430" s="40" t="s">
        <v>337</v>
      </c>
      <c r="C430" s="40" t="s">
        <v>293</v>
      </c>
      <c r="D430" s="40" t="s">
        <v>317</v>
      </c>
      <c r="E430" s="40" t="s">
        <v>291</v>
      </c>
      <c r="F430" s="40"/>
      <c r="G430" s="40" t="s">
        <v>652</v>
      </c>
      <c r="H430" s="39" t="s">
        <v>289</v>
      </c>
      <c r="I430" s="38">
        <v>1469.7</v>
      </c>
      <c r="J430" s="38">
        <v>1954.24</v>
      </c>
    </row>
    <row r="431" spans="1:10" x14ac:dyDescent="0.25">
      <c r="B431" s="40" t="s">
        <v>371</v>
      </c>
      <c r="C431" s="40" t="s">
        <v>306</v>
      </c>
      <c r="D431" s="40"/>
      <c r="E431" s="40" t="s">
        <v>291</v>
      </c>
      <c r="F431" s="40" t="s">
        <v>651</v>
      </c>
      <c r="G431" s="39" t="s">
        <v>650</v>
      </c>
      <c r="H431" s="40" t="s">
        <v>9</v>
      </c>
      <c r="I431" s="38">
        <v>-1469.7</v>
      </c>
      <c r="J431" s="38">
        <v>484.54</v>
      </c>
    </row>
    <row r="432" spans="1:10" x14ac:dyDescent="0.25">
      <c r="A432" s="24" t="s">
        <v>649</v>
      </c>
      <c r="I432" s="37">
        <v>0</v>
      </c>
    </row>
    <row r="433" spans="1:10" x14ac:dyDescent="0.25">
      <c r="A433" s="24" t="s">
        <v>80</v>
      </c>
    </row>
    <row r="434" spans="1:10" x14ac:dyDescent="0.25">
      <c r="B434" s="40" t="s">
        <v>474</v>
      </c>
      <c r="J434" s="38">
        <v>11429.62</v>
      </c>
    </row>
    <row r="435" spans="1:10" x14ac:dyDescent="0.25">
      <c r="A435" s="24" t="s">
        <v>648</v>
      </c>
      <c r="I435" s="37"/>
    </row>
    <row r="436" spans="1:10" x14ac:dyDescent="0.25">
      <c r="A436" s="24" t="s">
        <v>83</v>
      </c>
    </row>
    <row r="437" spans="1:10" x14ac:dyDescent="0.25">
      <c r="B437" s="40" t="s">
        <v>474</v>
      </c>
      <c r="J437" s="38">
        <v>495569.1</v>
      </c>
    </row>
    <row r="438" spans="1:10" x14ac:dyDescent="0.25">
      <c r="A438" s="24" t="s">
        <v>647</v>
      </c>
      <c r="I438" s="37"/>
    </row>
    <row r="439" spans="1:10" x14ac:dyDescent="0.25">
      <c r="A439" s="24" t="s">
        <v>81</v>
      </c>
    </row>
    <row r="440" spans="1:10" x14ac:dyDescent="0.25">
      <c r="B440" s="40" t="s">
        <v>474</v>
      </c>
      <c r="J440" s="38">
        <v>1550506</v>
      </c>
    </row>
    <row r="441" spans="1:10" x14ac:dyDescent="0.25">
      <c r="A441" s="24" t="s">
        <v>646</v>
      </c>
      <c r="I441" s="37"/>
    </row>
    <row r="442" spans="1:10" x14ac:dyDescent="0.25">
      <c r="A442" s="24" t="s">
        <v>82</v>
      </c>
    </row>
    <row r="443" spans="1:10" x14ac:dyDescent="0.25">
      <c r="B443" s="40" t="s">
        <v>474</v>
      </c>
      <c r="J443" s="38">
        <v>91636.18</v>
      </c>
    </row>
    <row r="444" spans="1:10" x14ac:dyDescent="0.25">
      <c r="A444" s="24" t="s">
        <v>645</v>
      </c>
      <c r="I444" s="37"/>
    </row>
    <row r="445" spans="1:10" x14ac:dyDescent="0.25">
      <c r="A445" s="24" t="s">
        <v>202</v>
      </c>
    </row>
    <row r="446" spans="1:10" x14ac:dyDescent="0.25">
      <c r="A446" s="24" t="s">
        <v>644</v>
      </c>
    </row>
    <row r="447" spans="1:10" x14ac:dyDescent="0.25">
      <c r="B447" s="40" t="s">
        <v>301</v>
      </c>
      <c r="J447" s="38">
        <v>1385</v>
      </c>
    </row>
    <row r="448" spans="1:10" x14ac:dyDescent="0.25">
      <c r="B448" s="40" t="s">
        <v>298</v>
      </c>
      <c r="C448" s="40" t="s">
        <v>359</v>
      </c>
      <c r="D448" s="40"/>
      <c r="E448" s="40" t="s">
        <v>291</v>
      </c>
      <c r="F448" s="40"/>
      <c r="G448" s="40" t="s">
        <v>643</v>
      </c>
      <c r="H448" s="40" t="s">
        <v>9</v>
      </c>
      <c r="I448" s="38">
        <v>35</v>
      </c>
      <c r="J448" s="38">
        <v>1420</v>
      </c>
    </row>
    <row r="449" spans="1:10" x14ac:dyDescent="0.25">
      <c r="B449" s="40" t="s">
        <v>310</v>
      </c>
      <c r="C449" s="40" t="s">
        <v>359</v>
      </c>
      <c r="D449" s="40"/>
      <c r="E449" s="40" t="s">
        <v>291</v>
      </c>
      <c r="F449" s="40" t="s">
        <v>642</v>
      </c>
      <c r="G449" s="40" t="s">
        <v>641</v>
      </c>
      <c r="H449" s="40" t="s">
        <v>9</v>
      </c>
      <c r="I449" s="38">
        <v>150</v>
      </c>
      <c r="J449" s="38">
        <v>1570</v>
      </c>
    </row>
    <row r="450" spans="1:10" x14ac:dyDescent="0.25">
      <c r="B450" s="40" t="s">
        <v>326</v>
      </c>
      <c r="C450" s="40" t="s">
        <v>359</v>
      </c>
      <c r="D450" s="40"/>
      <c r="E450" s="40" t="s">
        <v>291</v>
      </c>
      <c r="F450" s="40" t="s">
        <v>639</v>
      </c>
      <c r="G450" s="40" t="s">
        <v>640</v>
      </c>
      <c r="H450" s="40" t="s">
        <v>9</v>
      </c>
      <c r="I450" s="38">
        <v>70</v>
      </c>
      <c r="J450" s="38">
        <v>1640</v>
      </c>
    </row>
    <row r="451" spans="1:10" x14ac:dyDescent="0.25">
      <c r="B451" s="40" t="s">
        <v>362</v>
      </c>
      <c r="C451" s="40" t="s">
        <v>359</v>
      </c>
      <c r="D451" s="40"/>
      <c r="E451" s="40" t="s">
        <v>291</v>
      </c>
      <c r="F451" s="40" t="s">
        <v>639</v>
      </c>
      <c r="G451" s="40" t="s">
        <v>638</v>
      </c>
      <c r="H451" s="40" t="s">
        <v>9</v>
      </c>
      <c r="I451" s="38">
        <v>900</v>
      </c>
      <c r="J451" s="38">
        <v>2540</v>
      </c>
    </row>
    <row r="452" spans="1:10" x14ac:dyDescent="0.25">
      <c r="A452" s="24" t="s">
        <v>637</v>
      </c>
      <c r="I452" s="37">
        <v>1155</v>
      </c>
    </row>
    <row r="453" spans="1:10" x14ac:dyDescent="0.25">
      <c r="A453" s="24" t="s">
        <v>636</v>
      </c>
    </row>
    <row r="454" spans="1:10" x14ac:dyDescent="0.25">
      <c r="B454" s="40" t="s">
        <v>350</v>
      </c>
      <c r="C454" s="40" t="s">
        <v>359</v>
      </c>
      <c r="D454" s="40"/>
      <c r="E454" s="40" t="s">
        <v>291</v>
      </c>
      <c r="F454" s="40"/>
      <c r="G454" s="40" t="s">
        <v>400</v>
      </c>
      <c r="H454" s="40" t="s">
        <v>9</v>
      </c>
      <c r="I454" s="38">
        <v>15</v>
      </c>
      <c r="J454" s="38">
        <v>15</v>
      </c>
    </row>
    <row r="455" spans="1:10" x14ac:dyDescent="0.25">
      <c r="A455" s="24" t="s">
        <v>635</v>
      </c>
      <c r="I455" s="37">
        <v>15</v>
      </c>
    </row>
    <row r="456" spans="1:10" x14ac:dyDescent="0.25">
      <c r="A456" s="24" t="s">
        <v>634</v>
      </c>
    </row>
    <row r="457" spans="1:10" x14ac:dyDescent="0.25">
      <c r="B457" s="40" t="s">
        <v>301</v>
      </c>
      <c r="J457" s="38">
        <v>555</v>
      </c>
    </row>
    <row r="458" spans="1:10" x14ac:dyDescent="0.25">
      <c r="A458" s="24" t="s">
        <v>633</v>
      </c>
      <c r="I458" s="37" t="s">
        <v>299</v>
      </c>
    </row>
    <row r="459" spans="1:10" x14ac:dyDescent="0.25">
      <c r="A459" s="24" t="s">
        <v>197</v>
      </c>
      <c r="I459" s="37">
        <v>1170</v>
      </c>
    </row>
    <row r="460" spans="1:10" x14ac:dyDescent="0.25">
      <c r="A460" s="24" t="s">
        <v>196</v>
      </c>
    </row>
    <row r="461" spans="1:10" x14ac:dyDescent="0.25">
      <c r="A461" s="24" t="s">
        <v>632</v>
      </c>
    </row>
    <row r="462" spans="1:10" x14ac:dyDescent="0.25">
      <c r="B462" s="40" t="s">
        <v>301</v>
      </c>
      <c r="J462" s="38">
        <v>267500</v>
      </c>
    </row>
    <row r="463" spans="1:10" x14ac:dyDescent="0.25">
      <c r="B463" s="40" t="s">
        <v>337</v>
      </c>
      <c r="C463" s="40" t="s">
        <v>611</v>
      </c>
      <c r="D463" s="40">
        <v>2456</v>
      </c>
      <c r="E463" s="40" t="s">
        <v>291</v>
      </c>
      <c r="F463" s="40" t="s">
        <v>631</v>
      </c>
      <c r="G463" s="40" t="s">
        <v>630</v>
      </c>
      <c r="H463" s="40" t="s">
        <v>14</v>
      </c>
      <c r="I463" s="38">
        <v>133750</v>
      </c>
      <c r="J463" s="38">
        <v>401250</v>
      </c>
    </row>
    <row r="464" spans="1:10" x14ac:dyDescent="0.25">
      <c r="A464" s="24" t="s">
        <v>629</v>
      </c>
      <c r="I464" s="37">
        <v>133750</v>
      </c>
    </row>
    <row r="465" spans="1:10" x14ac:dyDescent="0.25">
      <c r="A465" s="24" t="s">
        <v>628</v>
      </c>
    </row>
    <row r="466" spans="1:10" x14ac:dyDescent="0.25">
      <c r="B466" s="40" t="s">
        <v>301</v>
      </c>
      <c r="J466" s="38">
        <v>13800</v>
      </c>
    </row>
    <row r="467" spans="1:10" x14ac:dyDescent="0.25">
      <c r="A467" s="24" t="s">
        <v>627</v>
      </c>
      <c r="I467" s="37" t="s">
        <v>299</v>
      </c>
    </row>
    <row r="468" spans="1:10" x14ac:dyDescent="0.25">
      <c r="A468" s="24" t="s">
        <v>192</v>
      </c>
      <c r="I468" s="37">
        <v>133750</v>
      </c>
    </row>
    <row r="469" spans="1:10" x14ac:dyDescent="0.25">
      <c r="A469" s="24" t="s">
        <v>191</v>
      </c>
    </row>
    <row r="470" spans="1:10" x14ac:dyDescent="0.25">
      <c r="A470" s="24" t="s">
        <v>626</v>
      </c>
    </row>
    <row r="471" spans="1:10" x14ac:dyDescent="0.25">
      <c r="B471" s="40" t="s">
        <v>301</v>
      </c>
      <c r="J471" s="38">
        <v>3050</v>
      </c>
    </row>
    <row r="472" spans="1:10" x14ac:dyDescent="0.25">
      <c r="B472" s="40" t="s">
        <v>298</v>
      </c>
      <c r="C472" s="40" t="s">
        <v>611</v>
      </c>
      <c r="D472" s="40">
        <v>2443</v>
      </c>
      <c r="E472" s="40" t="s">
        <v>291</v>
      </c>
      <c r="F472" s="40" t="s">
        <v>610</v>
      </c>
      <c r="G472" s="40" t="s">
        <v>624</v>
      </c>
      <c r="H472" s="40" t="s">
        <v>14</v>
      </c>
      <c r="I472" s="38">
        <v>175</v>
      </c>
      <c r="J472" s="38">
        <v>3225</v>
      </c>
    </row>
    <row r="473" spans="1:10" x14ac:dyDescent="0.25">
      <c r="B473" s="40" t="s">
        <v>298</v>
      </c>
      <c r="C473" s="40" t="s">
        <v>611</v>
      </c>
      <c r="D473" s="40">
        <v>2444</v>
      </c>
      <c r="E473" s="40" t="s">
        <v>291</v>
      </c>
      <c r="F473" s="40" t="s">
        <v>610</v>
      </c>
      <c r="G473" s="40" t="s">
        <v>625</v>
      </c>
      <c r="H473" s="40" t="s">
        <v>14</v>
      </c>
      <c r="I473" s="38">
        <v>450</v>
      </c>
      <c r="J473" s="38">
        <v>3675</v>
      </c>
    </row>
    <row r="474" spans="1:10" x14ac:dyDescent="0.25">
      <c r="B474" s="40" t="s">
        <v>418</v>
      </c>
      <c r="C474" s="40" t="s">
        <v>611</v>
      </c>
      <c r="D474" s="40">
        <v>2445</v>
      </c>
      <c r="E474" s="40" t="s">
        <v>291</v>
      </c>
      <c r="F474" s="40" t="s">
        <v>610</v>
      </c>
      <c r="G474" s="40" t="s">
        <v>619</v>
      </c>
      <c r="H474" s="40" t="s">
        <v>14</v>
      </c>
      <c r="I474" s="38">
        <v>900</v>
      </c>
      <c r="J474" s="38">
        <v>4575</v>
      </c>
    </row>
    <row r="475" spans="1:10" x14ac:dyDescent="0.25">
      <c r="B475" s="40" t="s">
        <v>415</v>
      </c>
      <c r="C475" s="40" t="s">
        <v>611</v>
      </c>
      <c r="D475" s="40">
        <v>2446</v>
      </c>
      <c r="E475" s="40" t="s">
        <v>291</v>
      </c>
      <c r="F475" s="40" t="s">
        <v>610</v>
      </c>
      <c r="G475" s="40" t="s">
        <v>619</v>
      </c>
      <c r="H475" s="40" t="s">
        <v>14</v>
      </c>
      <c r="I475" s="38">
        <v>1800</v>
      </c>
      <c r="J475" s="38">
        <v>6375</v>
      </c>
    </row>
    <row r="476" spans="1:10" x14ac:dyDescent="0.25">
      <c r="B476" s="40" t="s">
        <v>353</v>
      </c>
      <c r="C476" s="40" t="s">
        <v>611</v>
      </c>
      <c r="D476" s="40">
        <v>2448</v>
      </c>
      <c r="E476" s="40" t="s">
        <v>291</v>
      </c>
      <c r="F476" s="40" t="s">
        <v>610</v>
      </c>
      <c r="G476" s="40" t="s">
        <v>619</v>
      </c>
      <c r="H476" s="40" t="s">
        <v>14</v>
      </c>
      <c r="I476" s="38">
        <v>175</v>
      </c>
      <c r="J476" s="38">
        <v>6550</v>
      </c>
    </row>
    <row r="477" spans="1:10" x14ac:dyDescent="0.25">
      <c r="B477" s="40" t="s">
        <v>351</v>
      </c>
      <c r="C477" s="40" t="s">
        <v>611</v>
      </c>
      <c r="D477" s="40">
        <v>2449</v>
      </c>
      <c r="E477" s="40" t="s">
        <v>291</v>
      </c>
      <c r="F477" s="40" t="s">
        <v>610</v>
      </c>
      <c r="G477" s="40" t="s">
        <v>624</v>
      </c>
      <c r="H477" s="40" t="s">
        <v>14</v>
      </c>
      <c r="I477" s="38">
        <v>1350</v>
      </c>
      <c r="J477" s="38">
        <v>7900</v>
      </c>
    </row>
    <row r="478" spans="1:10" x14ac:dyDescent="0.25">
      <c r="B478" s="40" t="s">
        <v>351</v>
      </c>
      <c r="C478" s="40" t="s">
        <v>611</v>
      </c>
      <c r="D478" s="40">
        <v>2447</v>
      </c>
      <c r="E478" s="40" t="s">
        <v>291</v>
      </c>
      <c r="F478" s="40" t="s">
        <v>623</v>
      </c>
      <c r="G478" s="40" t="s">
        <v>624</v>
      </c>
      <c r="H478" s="40" t="s">
        <v>14</v>
      </c>
      <c r="I478" s="38">
        <v>310</v>
      </c>
      <c r="J478" s="38">
        <v>8210</v>
      </c>
    </row>
    <row r="479" spans="1:10" x14ac:dyDescent="0.25">
      <c r="B479" s="40" t="s">
        <v>315</v>
      </c>
      <c r="C479" s="40" t="s">
        <v>611</v>
      </c>
      <c r="D479" s="40">
        <v>2450</v>
      </c>
      <c r="E479" s="40" t="s">
        <v>291</v>
      </c>
      <c r="F479" s="40" t="s">
        <v>610</v>
      </c>
      <c r="G479" s="40" t="s">
        <v>621</v>
      </c>
      <c r="H479" s="40" t="s">
        <v>14</v>
      </c>
      <c r="I479" s="38">
        <v>900</v>
      </c>
      <c r="J479" s="38">
        <v>9110</v>
      </c>
    </row>
    <row r="480" spans="1:10" x14ac:dyDescent="0.25">
      <c r="B480" s="40" t="s">
        <v>350</v>
      </c>
      <c r="C480" s="40" t="s">
        <v>611</v>
      </c>
      <c r="D480" s="40">
        <v>2451</v>
      </c>
      <c r="E480" s="40" t="s">
        <v>291</v>
      </c>
      <c r="F480" s="40" t="s">
        <v>610</v>
      </c>
      <c r="G480" s="40" t="s">
        <v>624</v>
      </c>
      <c r="H480" s="40" t="s">
        <v>14</v>
      </c>
      <c r="I480" s="38">
        <v>900</v>
      </c>
      <c r="J480" s="38">
        <v>10010</v>
      </c>
    </row>
    <row r="481" spans="1:10" x14ac:dyDescent="0.25">
      <c r="B481" s="40" t="s">
        <v>345</v>
      </c>
      <c r="C481" s="40" t="s">
        <v>611</v>
      </c>
      <c r="D481" s="40">
        <v>2453</v>
      </c>
      <c r="E481" s="40" t="s">
        <v>291</v>
      </c>
      <c r="F481" s="40" t="s">
        <v>610</v>
      </c>
      <c r="G481" s="40" t="s">
        <v>619</v>
      </c>
      <c r="H481" s="40" t="s">
        <v>14</v>
      </c>
      <c r="I481" s="38">
        <v>450</v>
      </c>
      <c r="J481" s="38">
        <v>10460</v>
      </c>
    </row>
    <row r="482" spans="1:10" x14ac:dyDescent="0.25">
      <c r="B482" s="40" t="s">
        <v>313</v>
      </c>
      <c r="C482" s="40" t="s">
        <v>611</v>
      </c>
      <c r="D482" s="40">
        <v>2454</v>
      </c>
      <c r="E482" s="40" t="s">
        <v>291</v>
      </c>
      <c r="F482" s="40" t="s">
        <v>610</v>
      </c>
      <c r="G482" s="40" t="s">
        <v>619</v>
      </c>
      <c r="H482" s="40" t="s">
        <v>14</v>
      </c>
      <c r="I482" s="38">
        <v>900</v>
      </c>
      <c r="J482" s="38">
        <v>11360</v>
      </c>
    </row>
    <row r="483" spans="1:10" x14ac:dyDescent="0.25">
      <c r="B483" s="40" t="s">
        <v>477</v>
      </c>
      <c r="C483" s="40" t="s">
        <v>611</v>
      </c>
      <c r="D483" s="40">
        <v>2455</v>
      </c>
      <c r="E483" s="40" t="s">
        <v>291</v>
      </c>
      <c r="F483" s="40" t="s">
        <v>610</v>
      </c>
      <c r="G483" s="40" t="s">
        <v>621</v>
      </c>
      <c r="H483" s="40" t="s">
        <v>14</v>
      </c>
      <c r="I483" s="38">
        <v>175</v>
      </c>
      <c r="J483" s="38">
        <v>11535</v>
      </c>
    </row>
    <row r="484" spans="1:10" x14ac:dyDescent="0.25">
      <c r="B484" s="40" t="s">
        <v>339</v>
      </c>
      <c r="C484" s="40" t="s">
        <v>611</v>
      </c>
      <c r="D484" s="40">
        <v>2457</v>
      </c>
      <c r="E484" s="40" t="s">
        <v>291</v>
      </c>
      <c r="F484" s="40" t="s">
        <v>610</v>
      </c>
      <c r="G484" s="40" t="s">
        <v>620</v>
      </c>
      <c r="H484" s="40" t="s">
        <v>14</v>
      </c>
      <c r="I484" s="38">
        <v>450</v>
      </c>
      <c r="J484" s="38">
        <v>11985</v>
      </c>
    </row>
    <row r="485" spans="1:10" x14ac:dyDescent="0.25">
      <c r="B485" s="40" t="s">
        <v>329</v>
      </c>
      <c r="C485" s="40" t="s">
        <v>611</v>
      </c>
      <c r="D485" s="40">
        <v>2459</v>
      </c>
      <c r="E485" s="40" t="s">
        <v>291</v>
      </c>
      <c r="F485" s="40" t="s">
        <v>623</v>
      </c>
      <c r="G485" s="40" t="s">
        <v>622</v>
      </c>
      <c r="H485" s="40" t="s">
        <v>14</v>
      </c>
      <c r="I485" s="38">
        <v>310</v>
      </c>
      <c r="J485" s="38">
        <v>12295</v>
      </c>
    </row>
    <row r="486" spans="1:10" x14ac:dyDescent="0.25">
      <c r="B486" s="40" t="s">
        <v>329</v>
      </c>
      <c r="C486" s="40" t="s">
        <v>611</v>
      </c>
      <c r="D486" s="40">
        <v>2460</v>
      </c>
      <c r="E486" s="40" t="s">
        <v>291</v>
      </c>
      <c r="F486" s="40" t="s">
        <v>610</v>
      </c>
      <c r="G486" s="40" t="s">
        <v>621</v>
      </c>
      <c r="H486" s="40" t="s">
        <v>14</v>
      </c>
      <c r="I486" s="38">
        <v>450</v>
      </c>
      <c r="J486" s="38">
        <v>12745</v>
      </c>
    </row>
    <row r="487" spans="1:10" x14ac:dyDescent="0.25">
      <c r="B487" s="40" t="s">
        <v>307</v>
      </c>
      <c r="C487" s="40" t="s">
        <v>611</v>
      </c>
      <c r="D487" s="40">
        <v>2461</v>
      </c>
      <c r="E487" s="40" t="s">
        <v>291</v>
      </c>
      <c r="F487" s="40" t="s">
        <v>610</v>
      </c>
      <c r="G487" s="40" t="s">
        <v>619</v>
      </c>
      <c r="H487" s="40" t="s">
        <v>14</v>
      </c>
      <c r="I487" s="38">
        <v>175</v>
      </c>
      <c r="J487" s="38">
        <v>12920</v>
      </c>
    </row>
    <row r="488" spans="1:10" x14ac:dyDescent="0.25">
      <c r="B488" s="40" t="s">
        <v>322</v>
      </c>
      <c r="C488" s="40" t="s">
        <v>611</v>
      </c>
      <c r="D488" s="40">
        <v>2463</v>
      </c>
      <c r="E488" s="40" t="s">
        <v>291</v>
      </c>
      <c r="F488" s="40" t="s">
        <v>610</v>
      </c>
      <c r="G488" s="40" t="s">
        <v>619</v>
      </c>
      <c r="H488" s="40" t="s">
        <v>14</v>
      </c>
      <c r="I488" s="38">
        <v>1350</v>
      </c>
      <c r="J488" s="38">
        <v>14270</v>
      </c>
    </row>
    <row r="489" spans="1:10" x14ac:dyDescent="0.25">
      <c r="B489" s="40" t="s">
        <v>322</v>
      </c>
      <c r="C489" s="40" t="s">
        <v>611</v>
      </c>
      <c r="D489" s="40">
        <v>2462</v>
      </c>
      <c r="E489" s="40" t="s">
        <v>291</v>
      </c>
      <c r="F489" s="40" t="s">
        <v>610</v>
      </c>
      <c r="G489" s="40" t="s">
        <v>621</v>
      </c>
      <c r="H489" s="40" t="s">
        <v>14</v>
      </c>
      <c r="I489" s="38">
        <v>1800</v>
      </c>
      <c r="J489" s="38">
        <v>16070</v>
      </c>
    </row>
    <row r="490" spans="1:10" x14ac:dyDescent="0.25">
      <c r="B490" s="40" t="s">
        <v>613</v>
      </c>
      <c r="C490" s="40" t="s">
        <v>611</v>
      </c>
      <c r="D490" s="40">
        <v>2465</v>
      </c>
      <c r="E490" s="40" t="s">
        <v>291</v>
      </c>
      <c r="F490" s="40" t="s">
        <v>610</v>
      </c>
      <c r="G490" s="40" t="s">
        <v>620</v>
      </c>
      <c r="H490" s="40" t="s">
        <v>14</v>
      </c>
      <c r="I490" s="38">
        <v>1350</v>
      </c>
      <c r="J490" s="38">
        <v>17420</v>
      </c>
    </row>
    <row r="491" spans="1:10" x14ac:dyDescent="0.25">
      <c r="B491" s="40" t="s">
        <v>612</v>
      </c>
      <c r="C491" s="40" t="s">
        <v>611</v>
      </c>
      <c r="D491" s="40">
        <v>2466</v>
      </c>
      <c r="E491" s="40" t="s">
        <v>291</v>
      </c>
      <c r="F491" s="40" t="s">
        <v>610</v>
      </c>
      <c r="G491" s="40" t="s">
        <v>620</v>
      </c>
      <c r="H491" s="40" t="s">
        <v>14</v>
      </c>
      <c r="I491" s="38">
        <v>1350</v>
      </c>
      <c r="J491" s="38">
        <v>18770</v>
      </c>
    </row>
    <row r="492" spans="1:10" x14ac:dyDescent="0.25">
      <c r="B492" s="40" t="s">
        <v>294</v>
      </c>
      <c r="C492" s="40" t="s">
        <v>611</v>
      </c>
      <c r="D492" s="40">
        <v>2467</v>
      </c>
      <c r="E492" s="40" t="s">
        <v>291</v>
      </c>
      <c r="F492" s="40" t="s">
        <v>610</v>
      </c>
      <c r="G492" s="40" t="s">
        <v>619</v>
      </c>
      <c r="H492" s="40" t="s">
        <v>14</v>
      </c>
      <c r="I492" s="38">
        <v>450</v>
      </c>
      <c r="J492" s="38">
        <v>19220</v>
      </c>
    </row>
    <row r="493" spans="1:10" x14ac:dyDescent="0.25">
      <c r="A493" s="24" t="s">
        <v>618</v>
      </c>
      <c r="I493" s="37">
        <v>16170</v>
      </c>
    </row>
    <row r="494" spans="1:10" x14ac:dyDescent="0.25">
      <c r="A494" s="24" t="s">
        <v>617</v>
      </c>
    </row>
    <row r="495" spans="1:10" x14ac:dyDescent="0.25">
      <c r="B495" s="40" t="s">
        <v>301</v>
      </c>
      <c r="J495" s="38">
        <v>10810</v>
      </c>
    </row>
    <row r="496" spans="1:10" x14ac:dyDescent="0.25">
      <c r="B496" s="40" t="s">
        <v>298</v>
      </c>
      <c r="C496" s="40" t="s">
        <v>359</v>
      </c>
      <c r="D496" s="40"/>
      <c r="E496" s="40" t="s">
        <v>291</v>
      </c>
      <c r="F496" s="40"/>
      <c r="G496" s="40" t="s">
        <v>430</v>
      </c>
      <c r="H496" s="40" t="s">
        <v>9</v>
      </c>
      <c r="I496" s="38">
        <v>180</v>
      </c>
      <c r="J496" s="38">
        <v>10990</v>
      </c>
    </row>
    <row r="497" spans="2:10" x14ac:dyDescent="0.25">
      <c r="B497" s="40" t="s">
        <v>298</v>
      </c>
      <c r="C497" s="40" t="s">
        <v>359</v>
      </c>
      <c r="D497" s="40"/>
      <c r="E497" s="40" t="s">
        <v>291</v>
      </c>
      <c r="F497" s="40"/>
      <c r="G497" s="40" t="s">
        <v>428</v>
      </c>
      <c r="H497" s="40" t="s">
        <v>9</v>
      </c>
      <c r="I497" s="38">
        <v>155</v>
      </c>
      <c r="J497" s="38">
        <v>11145</v>
      </c>
    </row>
    <row r="498" spans="2:10" x14ac:dyDescent="0.25">
      <c r="B498" s="40" t="s">
        <v>298</v>
      </c>
      <c r="C498" s="40" t="s">
        <v>359</v>
      </c>
      <c r="D498" s="40"/>
      <c r="E498" s="40" t="s">
        <v>291</v>
      </c>
      <c r="F498" s="40" t="s">
        <v>426</v>
      </c>
      <c r="G498" s="40" t="s">
        <v>427</v>
      </c>
      <c r="H498" s="40" t="s">
        <v>9</v>
      </c>
      <c r="I498" s="38">
        <v>230</v>
      </c>
      <c r="J498" s="38">
        <v>11375</v>
      </c>
    </row>
    <row r="499" spans="2:10" x14ac:dyDescent="0.25">
      <c r="B499" s="40" t="s">
        <v>298</v>
      </c>
      <c r="C499" s="40" t="s">
        <v>359</v>
      </c>
      <c r="D499" s="40"/>
      <c r="E499" s="40" t="s">
        <v>291</v>
      </c>
      <c r="F499" s="40" t="s">
        <v>426</v>
      </c>
      <c r="G499" s="40" t="s">
        <v>425</v>
      </c>
      <c r="H499" s="40" t="s">
        <v>9</v>
      </c>
      <c r="I499" s="38">
        <v>230</v>
      </c>
      <c r="J499" s="38">
        <v>11605</v>
      </c>
    </row>
    <row r="500" spans="2:10" x14ac:dyDescent="0.25">
      <c r="B500" s="40" t="s">
        <v>298</v>
      </c>
      <c r="C500" s="40" t="s">
        <v>359</v>
      </c>
      <c r="D500" s="40"/>
      <c r="E500" s="40" t="s">
        <v>291</v>
      </c>
      <c r="F500" s="40"/>
      <c r="G500" s="40" t="s">
        <v>429</v>
      </c>
      <c r="H500" s="40" t="s">
        <v>9</v>
      </c>
      <c r="I500" s="38">
        <v>230</v>
      </c>
      <c r="J500" s="38">
        <v>11835</v>
      </c>
    </row>
    <row r="501" spans="2:10" x14ac:dyDescent="0.25">
      <c r="B501" s="40" t="s">
        <v>318</v>
      </c>
      <c r="C501" s="40" t="s">
        <v>359</v>
      </c>
      <c r="D501" s="40"/>
      <c r="E501" s="40" t="s">
        <v>291</v>
      </c>
      <c r="F501" s="40"/>
      <c r="G501" s="40" t="s">
        <v>420</v>
      </c>
      <c r="H501" s="40" t="s">
        <v>9</v>
      </c>
      <c r="I501" s="38">
        <v>110</v>
      </c>
      <c r="J501" s="38">
        <v>11945</v>
      </c>
    </row>
    <row r="502" spans="2:10" x14ac:dyDescent="0.25">
      <c r="B502" s="40" t="s">
        <v>318</v>
      </c>
      <c r="C502" s="40" t="s">
        <v>359</v>
      </c>
      <c r="D502" s="40"/>
      <c r="E502" s="40" t="s">
        <v>291</v>
      </c>
      <c r="F502" s="40"/>
      <c r="G502" s="40" t="s">
        <v>421</v>
      </c>
      <c r="H502" s="40" t="s">
        <v>9</v>
      </c>
      <c r="I502" s="38">
        <v>40</v>
      </c>
      <c r="J502" s="38">
        <v>11985</v>
      </c>
    </row>
    <row r="503" spans="2:10" x14ac:dyDescent="0.25">
      <c r="B503" s="40" t="s">
        <v>418</v>
      </c>
      <c r="C503" s="40" t="s">
        <v>359</v>
      </c>
      <c r="D503" s="40"/>
      <c r="E503" s="40" t="s">
        <v>291</v>
      </c>
      <c r="F503" s="40"/>
      <c r="G503" s="40" t="s">
        <v>417</v>
      </c>
      <c r="H503" s="40" t="s">
        <v>9</v>
      </c>
      <c r="I503" s="38">
        <v>75</v>
      </c>
      <c r="J503" s="38">
        <v>12060</v>
      </c>
    </row>
    <row r="504" spans="2:10" x14ac:dyDescent="0.25">
      <c r="B504" s="40" t="s">
        <v>418</v>
      </c>
      <c r="C504" s="40" t="s">
        <v>359</v>
      </c>
      <c r="D504" s="40"/>
      <c r="E504" s="40" t="s">
        <v>291</v>
      </c>
      <c r="F504" s="40"/>
      <c r="G504" s="40" t="s">
        <v>419</v>
      </c>
      <c r="H504" s="40" t="s">
        <v>9</v>
      </c>
      <c r="I504" s="38">
        <v>175</v>
      </c>
      <c r="J504" s="38">
        <v>12235</v>
      </c>
    </row>
    <row r="505" spans="2:10" x14ac:dyDescent="0.25">
      <c r="B505" s="40" t="s">
        <v>415</v>
      </c>
      <c r="C505" s="40" t="s">
        <v>359</v>
      </c>
      <c r="D505" s="40"/>
      <c r="E505" s="40" t="s">
        <v>291</v>
      </c>
      <c r="F505" s="40"/>
      <c r="G505" s="40" t="s">
        <v>416</v>
      </c>
      <c r="H505" s="40" t="s">
        <v>9</v>
      </c>
      <c r="I505" s="38">
        <v>140</v>
      </c>
      <c r="J505" s="38">
        <v>12375</v>
      </c>
    </row>
    <row r="506" spans="2:10" x14ac:dyDescent="0.25">
      <c r="B506" s="40" t="s">
        <v>415</v>
      </c>
      <c r="C506" s="40" t="s">
        <v>359</v>
      </c>
      <c r="D506" s="40"/>
      <c r="E506" s="40" t="s">
        <v>291</v>
      </c>
      <c r="F506" s="40"/>
      <c r="G506" s="40" t="s">
        <v>414</v>
      </c>
      <c r="H506" s="40" t="s">
        <v>9</v>
      </c>
      <c r="I506" s="38">
        <v>105</v>
      </c>
      <c r="J506" s="38">
        <v>12480</v>
      </c>
    </row>
    <row r="507" spans="2:10" x14ac:dyDescent="0.25">
      <c r="B507" s="40" t="s">
        <v>412</v>
      </c>
      <c r="C507" s="40" t="s">
        <v>359</v>
      </c>
      <c r="D507" s="40"/>
      <c r="E507" s="40" t="s">
        <v>291</v>
      </c>
      <c r="F507" s="40"/>
      <c r="G507" s="40" t="s">
        <v>411</v>
      </c>
      <c r="H507" s="40" t="s">
        <v>9</v>
      </c>
      <c r="I507" s="38">
        <v>100</v>
      </c>
      <c r="J507" s="38">
        <v>12580</v>
      </c>
    </row>
    <row r="508" spans="2:10" x14ac:dyDescent="0.25">
      <c r="B508" s="40" t="s">
        <v>412</v>
      </c>
      <c r="C508" s="40" t="s">
        <v>359</v>
      </c>
      <c r="D508" s="40"/>
      <c r="E508" s="40" t="s">
        <v>291</v>
      </c>
      <c r="F508" s="40"/>
      <c r="G508" s="40" t="s">
        <v>413</v>
      </c>
      <c r="H508" s="40" t="s">
        <v>9</v>
      </c>
      <c r="I508" s="38">
        <v>585</v>
      </c>
      <c r="J508" s="38">
        <v>13165</v>
      </c>
    </row>
    <row r="509" spans="2:10" x14ac:dyDescent="0.25">
      <c r="B509" s="40" t="s">
        <v>412</v>
      </c>
      <c r="C509" s="40" t="s">
        <v>359</v>
      </c>
      <c r="D509" s="40"/>
      <c r="E509" s="40" t="s">
        <v>291</v>
      </c>
      <c r="F509" s="40"/>
      <c r="G509" s="40" t="s">
        <v>616</v>
      </c>
      <c r="H509" s="40" t="s">
        <v>9</v>
      </c>
      <c r="I509" s="38">
        <v>871</v>
      </c>
      <c r="J509" s="38">
        <v>14036</v>
      </c>
    </row>
    <row r="510" spans="2:10" x14ac:dyDescent="0.25">
      <c r="B510" s="40" t="s">
        <v>351</v>
      </c>
      <c r="C510" s="40" t="s">
        <v>359</v>
      </c>
      <c r="D510" s="40"/>
      <c r="E510" s="40" t="s">
        <v>291</v>
      </c>
      <c r="F510" s="40"/>
      <c r="G510" s="40" t="s">
        <v>408</v>
      </c>
      <c r="H510" s="40" t="s">
        <v>9</v>
      </c>
      <c r="I510" s="38">
        <v>170</v>
      </c>
      <c r="J510" s="38">
        <v>14206</v>
      </c>
    </row>
    <row r="511" spans="2:10" x14ac:dyDescent="0.25">
      <c r="B511" s="40" t="s">
        <v>351</v>
      </c>
      <c r="C511" s="40" t="s">
        <v>359</v>
      </c>
      <c r="D511" s="40"/>
      <c r="E511" s="40" t="s">
        <v>291</v>
      </c>
      <c r="F511" s="40"/>
      <c r="G511" s="40" t="s">
        <v>409</v>
      </c>
      <c r="H511" s="40" t="s">
        <v>9</v>
      </c>
      <c r="I511" s="38">
        <v>435</v>
      </c>
      <c r="J511" s="38">
        <v>14641</v>
      </c>
    </row>
    <row r="512" spans="2:10" x14ac:dyDescent="0.25">
      <c r="B512" s="40" t="s">
        <v>351</v>
      </c>
      <c r="C512" s="40" t="s">
        <v>359</v>
      </c>
      <c r="D512" s="40"/>
      <c r="E512" s="40" t="s">
        <v>291</v>
      </c>
      <c r="F512" s="40"/>
      <c r="G512" s="40" t="s">
        <v>410</v>
      </c>
      <c r="H512" s="40" t="s">
        <v>9</v>
      </c>
      <c r="I512" s="38">
        <v>115</v>
      </c>
      <c r="J512" s="38">
        <v>14756</v>
      </c>
    </row>
    <row r="513" spans="2:10" x14ac:dyDescent="0.25">
      <c r="B513" s="40" t="s">
        <v>351</v>
      </c>
      <c r="C513" s="40" t="s">
        <v>359</v>
      </c>
      <c r="D513" s="40"/>
      <c r="E513" s="40" t="s">
        <v>291</v>
      </c>
      <c r="F513" s="40"/>
      <c r="G513" s="40" t="s">
        <v>407</v>
      </c>
      <c r="H513" s="40" t="s">
        <v>9</v>
      </c>
      <c r="I513" s="38">
        <v>240</v>
      </c>
      <c r="J513" s="38">
        <v>14996</v>
      </c>
    </row>
    <row r="514" spans="2:10" x14ac:dyDescent="0.25">
      <c r="B514" s="40" t="s">
        <v>351</v>
      </c>
      <c r="C514" s="40" t="s">
        <v>359</v>
      </c>
      <c r="D514" s="40"/>
      <c r="E514" s="40" t="s">
        <v>291</v>
      </c>
      <c r="F514" s="40"/>
      <c r="G514" s="40" t="s">
        <v>406</v>
      </c>
      <c r="H514" s="40" t="s">
        <v>9</v>
      </c>
      <c r="I514" s="38">
        <v>50</v>
      </c>
      <c r="J514" s="38">
        <v>15046</v>
      </c>
    </row>
    <row r="515" spans="2:10" x14ac:dyDescent="0.25">
      <c r="B515" s="40" t="s">
        <v>315</v>
      </c>
      <c r="C515" s="40" t="s">
        <v>359</v>
      </c>
      <c r="D515" s="40"/>
      <c r="E515" s="40" t="s">
        <v>291</v>
      </c>
      <c r="F515" s="40"/>
      <c r="G515" s="40" t="s">
        <v>404</v>
      </c>
      <c r="H515" s="40" t="s">
        <v>9</v>
      </c>
      <c r="I515" s="38">
        <v>35</v>
      </c>
      <c r="J515" s="38">
        <v>15081</v>
      </c>
    </row>
    <row r="516" spans="2:10" x14ac:dyDescent="0.25">
      <c r="B516" s="40" t="s">
        <v>315</v>
      </c>
      <c r="C516" s="40" t="s">
        <v>359</v>
      </c>
      <c r="D516" s="40"/>
      <c r="E516" s="40" t="s">
        <v>291</v>
      </c>
      <c r="F516" s="40"/>
      <c r="G516" s="40" t="s">
        <v>405</v>
      </c>
      <c r="H516" s="40" t="s">
        <v>9</v>
      </c>
      <c r="I516" s="38">
        <v>230</v>
      </c>
      <c r="J516" s="38">
        <v>15311</v>
      </c>
    </row>
    <row r="517" spans="2:10" x14ac:dyDescent="0.25">
      <c r="B517" s="40" t="s">
        <v>350</v>
      </c>
      <c r="C517" s="40" t="s">
        <v>359</v>
      </c>
      <c r="D517" s="40"/>
      <c r="E517" s="40" t="s">
        <v>291</v>
      </c>
      <c r="F517" s="40"/>
      <c r="G517" s="40"/>
      <c r="H517" s="40" t="s">
        <v>9</v>
      </c>
      <c r="I517" s="38">
        <v>1487</v>
      </c>
      <c r="J517" s="38">
        <v>16798</v>
      </c>
    </row>
    <row r="518" spans="2:10" x14ac:dyDescent="0.25">
      <c r="B518" s="40" t="s">
        <v>350</v>
      </c>
      <c r="C518" s="40" t="s">
        <v>359</v>
      </c>
      <c r="D518" s="40"/>
      <c r="E518" s="40" t="s">
        <v>291</v>
      </c>
      <c r="F518" s="40"/>
      <c r="G518" s="40" t="s">
        <v>401</v>
      </c>
      <c r="H518" s="40" t="s">
        <v>9</v>
      </c>
      <c r="I518" s="38">
        <v>225</v>
      </c>
      <c r="J518" s="38">
        <v>17023</v>
      </c>
    </row>
    <row r="519" spans="2:10" x14ac:dyDescent="0.25">
      <c r="B519" s="40" t="s">
        <v>350</v>
      </c>
      <c r="C519" s="40" t="s">
        <v>359</v>
      </c>
      <c r="D519" s="40"/>
      <c r="E519" s="40" t="s">
        <v>291</v>
      </c>
      <c r="F519" s="40"/>
      <c r="G519" s="40" t="s">
        <v>400</v>
      </c>
      <c r="H519" s="40" t="s">
        <v>9</v>
      </c>
      <c r="I519" s="38">
        <v>427</v>
      </c>
      <c r="J519" s="38">
        <v>17450</v>
      </c>
    </row>
    <row r="520" spans="2:10" x14ac:dyDescent="0.25">
      <c r="B520" s="40" t="s">
        <v>346</v>
      </c>
      <c r="C520" s="40" t="s">
        <v>359</v>
      </c>
      <c r="D520" s="40"/>
      <c r="E520" s="40" t="s">
        <v>291</v>
      </c>
      <c r="F520" s="40"/>
      <c r="G520" s="40" t="s">
        <v>399</v>
      </c>
      <c r="H520" s="40" t="s">
        <v>9</v>
      </c>
      <c r="I520" s="38">
        <v>275</v>
      </c>
      <c r="J520" s="38">
        <v>17725</v>
      </c>
    </row>
    <row r="521" spans="2:10" x14ac:dyDescent="0.25">
      <c r="B521" s="40" t="s">
        <v>346</v>
      </c>
      <c r="C521" s="40" t="s">
        <v>359</v>
      </c>
      <c r="D521" s="40"/>
      <c r="E521" s="40" t="s">
        <v>291</v>
      </c>
      <c r="F521" s="40"/>
      <c r="G521" s="40" t="s">
        <v>398</v>
      </c>
      <c r="H521" s="40" t="s">
        <v>9</v>
      </c>
      <c r="I521" s="38">
        <v>175</v>
      </c>
      <c r="J521" s="38">
        <v>17900</v>
      </c>
    </row>
    <row r="522" spans="2:10" x14ac:dyDescent="0.25">
      <c r="B522" s="40" t="s">
        <v>345</v>
      </c>
      <c r="C522" s="40" t="s">
        <v>359</v>
      </c>
      <c r="D522" s="40"/>
      <c r="E522" s="40" t="s">
        <v>291</v>
      </c>
      <c r="F522" s="40"/>
      <c r="G522" s="40" t="s">
        <v>397</v>
      </c>
      <c r="H522" s="40" t="s">
        <v>9</v>
      </c>
      <c r="I522" s="38">
        <v>50</v>
      </c>
      <c r="J522" s="38">
        <v>17950</v>
      </c>
    </row>
    <row r="523" spans="2:10" x14ac:dyDescent="0.25">
      <c r="B523" s="40" t="s">
        <v>345</v>
      </c>
      <c r="C523" s="40" t="s">
        <v>359</v>
      </c>
      <c r="D523" s="40"/>
      <c r="E523" s="40" t="s">
        <v>291</v>
      </c>
      <c r="F523" s="40"/>
      <c r="G523" s="40" t="s">
        <v>395</v>
      </c>
      <c r="H523" s="40" t="s">
        <v>9</v>
      </c>
      <c r="I523" s="38">
        <v>655</v>
      </c>
      <c r="J523" s="38">
        <v>18605</v>
      </c>
    </row>
    <row r="524" spans="2:10" x14ac:dyDescent="0.25">
      <c r="B524" s="40" t="s">
        <v>310</v>
      </c>
      <c r="C524" s="40" t="s">
        <v>359</v>
      </c>
      <c r="D524" s="40"/>
      <c r="E524" s="40" t="s">
        <v>291</v>
      </c>
      <c r="F524" s="40"/>
      <c r="G524" s="40" t="s">
        <v>390</v>
      </c>
      <c r="H524" s="40" t="s">
        <v>9</v>
      </c>
      <c r="I524" s="38">
        <v>825</v>
      </c>
      <c r="J524" s="38">
        <v>19430</v>
      </c>
    </row>
    <row r="525" spans="2:10" x14ac:dyDescent="0.25">
      <c r="B525" s="40" t="s">
        <v>310</v>
      </c>
      <c r="C525" s="40" t="s">
        <v>359</v>
      </c>
      <c r="D525" s="40"/>
      <c r="E525" s="40" t="s">
        <v>291</v>
      </c>
      <c r="F525" s="40"/>
      <c r="G525" s="40" t="s">
        <v>394</v>
      </c>
      <c r="H525" s="40" t="s">
        <v>9</v>
      </c>
      <c r="I525" s="38">
        <v>445</v>
      </c>
      <c r="J525" s="38">
        <v>19875</v>
      </c>
    </row>
    <row r="526" spans="2:10" x14ac:dyDescent="0.25">
      <c r="B526" s="40" t="s">
        <v>310</v>
      </c>
      <c r="C526" s="40" t="s">
        <v>359</v>
      </c>
      <c r="D526" s="40"/>
      <c r="E526" s="40" t="s">
        <v>291</v>
      </c>
      <c r="F526" s="40"/>
      <c r="G526" s="40" t="s">
        <v>391</v>
      </c>
      <c r="H526" s="40" t="s">
        <v>9</v>
      </c>
      <c r="I526" s="38">
        <v>320</v>
      </c>
      <c r="J526" s="38">
        <v>20195</v>
      </c>
    </row>
    <row r="527" spans="2:10" x14ac:dyDescent="0.25">
      <c r="B527" s="40" t="s">
        <v>310</v>
      </c>
      <c r="C527" s="40" t="s">
        <v>359</v>
      </c>
      <c r="D527" s="40"/>
      <c r="E527" s="40" t="s">
        <v>291</v>
      </c>
      <c r="F527" s="40"/>
      <c r="G527" s="40" t="s">
        <v>392</v>
      </c>
      <c r="H527" s="40" t="s">
        <v>9</v>
      </c>
      <c r="I527" s="38">
        <v>1020</v>
      </c>
      <c r="J527" s="38">
        <v>21215</v>
      </c>
    </row>
    <row r="528" spans="2:10" x14ac:dyDescent="0.25">
      <c r="B528" s="40" t="s">
        <v>310</v>
      </c>
      <c r="C528" s="40" t="s">
        <v>359</v>
      </c>
      <c r="D528" s="40"/>
      <c r="E528" s="40" t="s">
        <v>291</v>
      </c>
      <c r="F528" s="40"/>
      <c r="G528" s="40" t="s">
        <v>393</v>
      </c>
      <c r="H528" s="40" t="s">
        <v>9</v>
      </c>
      <c r="I528" s="38">
        <v>350</v>
      </c>
      <c r="J528" s="38">
        <v>21565</v>
      </c>
    </row>
    <row r="529" spans="2:10" x14ac:dyDescent="0.25">
      <c r="B529" s="40" t="s">
        <v>343</v>
      </c>
      <c r="C529" s="40" t="s">
        <v>359</v>
      </c>
      <c r="D529" s="40"/>
      <c r="E529" s="40" t="s">
        <v>291</v>
      </c>
      <c r="F529" s="40"/>
      <c r="G529" s="40" t="s">
        <v>389</v>
      </c>
      <c r="H529" s="40" t="s">
        <v>9</v>
      </c>
      <c r="I529" s="38">
        <v>75</v>
      </c>
      <c r="J529" s="38">
        <v>21640</v>
      </c>
    </row>
    <row r="530" spans="2:10" x14ac:dyDescent="0.25">
      <c r="B530" s="40" t="s">
        <v>343</v>
      </c>
      <c r="C530" s="40" t="s">
        <v>359</v>
      </c>
      <c r="D530" s="40"/>
      <c r="E530" s="40" t="s">
        <v>291</v>
      </c>
      <c r="F530" s="40"/>
      <c r="G530" s="40" t="s">
        <v>388</v>
      </c>
      <c r="H530" s="40" t="s">
        <v>9</v>
      </c>
      <c r="I530" s="38">
        <v>270</v>
      </c>
      <c r="J530" s="38">
        <v>21910</v>
      </c>
    </row>
    <row r="531" spans="2:10" x14ac:dyDescent="0.25">
      <c r="B531" s="40" t="s">
        <v>339</v>
      </c>
      <c r="C531" s="40" t="s">
        <v>359</v>
      </c>
      <c r="D531" s="40"/>
      <c r="E531" s="40" t="s">
        <v>291</v>
      </c>
      <c r="F531" s="40"/>
      <c r="G531" s="40" t="s">
        <v>598</v>
      </c>
      <c r="H531" s="40" t="s">
        <v>9</v>
      </c>
      <c r="I531" s="38">
        <v>579</v>
      </c>
      <c r="J531" s="38">
        <v>22489</v>
      </c>
    </row>
    <row r="532" spans="2:10" x14ac:dyDescent="0.25">
      <c r="B532" s="40" t="s">
        <v>339</v>
      </c>
      <c r="C532" s="40" t="s">
        <v>359</v>
      </c>
      <c r="D532" s="40"/>
      <c r="E532" s="40" t="s">
        <v>291</v>
      </c>
      <c r="F532" s="40"/>
      <c r="G532" s="40" t="s">
        <v>387</v>
      </c>
      <c r="H532" s="40" t="s">
        <v>9</v>
      </c>
      <c r="I532" s="38">
        <v>200</v>
      </c>
      <c r="J532" s="38">
        <v>22689</v>
      </c>
    </row>
    <row r="533" spans="2:10" x14ac:dyDescent="0.25">
      <c r="B533" s="40" t="s">
        <v>339</v>
      </c>
      <c r="C533" s="40" t="s">
        <v>359</v>
      </c>
      <c r="D533" s="40"/>
      <c r="E533" s="40" t="s">
        <v>291</v>
      </c>
      <c r="F533" s="40"/>
      <c r="G533" s="40" t="s">
        <v>599</v>
      </c>
      <c r="H533" s="40" t="s">
        <v>9</v>
      </c>
      <c r="I533" s="38">
        <v>577</v>
      </c>
      <c r="J533" s="38">
        <v>23266</v>
      </c>
    </row>
    <row r="534" spans="2:10" x14ac:dyDescent="0.25">
      <c r="B534" s="40" t="s">
        <v>339</v>
      </c>
      <c r="C534" s="40" t="s">
        <v>359</v>
      </c>
      <c r="D534" s="40"/>
      <c r="E534" s="40" t="s">
        <v>291</v>
      </c>
      <c r="F534" s="40"/>
      <c r="G534" s="40" t="s">
        <v>386</v>
      </c>
      <c r="H534" s="40" t="s">
        <v>9</v>
      </c>
      <c r="I534" s="38">
        <v>230</v>
      </c>
      <c r="J534" s="38">
        <v>23496</v>
      </c>
    </row>
    <row r="535" spans="2:10" x14ac:dyDescent="0.25">
      <c r="B535" s="40" t="s">
        <v>339</v>
      </c>
      <c r="C535" s="40" t="s">
        <v>359</v>
      </c>
      <c r="D535" s="40"/>
      <c r="E535" s="40" t="s">
        <v>291</v>
      </c>
      <c r="F535" s="40"/>
      <c r="G535" s="40" t="s">
        <v>600</v>
      </c>
      <c r="H535" s="40" t="s">
        <v>9</v>
      </c>
      <c r="I535" s="38">
        <v>295</v>
      </c>
      <c r="J535" s="38">
        <v>23791</v>
      </c>
    </row>
    <row r="536" spans="2:10" x14ac:dyDescent="0.25">
      <c r="B536" s="40" t="s">
        <v>337</v>
      </c>
      <c r="C536" s="40" t="s">
        <v>359</v>
      </c>
      <c r="D536" s="40"/>
      <c r="E536" s="40" t="s">
        <v>291</v>
      </c>
      <c r="F536" s="40"/>
      <c r="G536" s="40" t="s">
        <v>384</v>
      </c>
      <c r="H536" s="40" t="s">
        <v>9</v>
      </c>
      <c r="I536" s="38">
        <v>305</v>
      </c>
      <c r="J536" s="38">
        <v>24096</v>
      </c>
    </row>
    <row r="537" spans="2:10" x14ac:dyDescent="0.25">
      <c r="B537" s="40" t="s">
        <v>337</v>
      </c>
      <c r="C537" s="40" t="s">
        <v>359</v>
      </c>
      <c r="D537" s="40"/>
      <c r="E537" s="40" t="s">
        <v>291</v>
      </c>
      <c r="F537" s="40"/>
      <c r="G537" s="40" t="s">
        <v>385</v>
      </c>
      <c r="H537" s="40" t="s">
        <v>9</v>
      </c>
      <c r="I537" s="38">
        <v>745</v>
      </c>
      <c r="J537" s="38">
        <v>24841</v>
      </c>
    </row>
    <row r="538" spans="2:10" x14ac:dyDescent="0.25">
      <c r="B538" s="40" t="s">
        <v>326</v>
      </c>
      <c r="C538" s="40" t="s">
        <v>359</v>
      </c>
      <c r="D538" s="40"/>
      <c r="E538" s="40" t="s">
        <v>291</v>
      </c>
      <c r="F538" s="40"/>
      <c r="G538" s="40" t="s">
        <v>380</v>
      </c>
      <c r="H538" s="40" t="s">
        <v>9</v>
      </c>
      <c r="I538" s="38">
        <v>825</v>
      </c>
      <c r="J538" s="38">
        <v>25666</v>
      </c>
    </row>
    <row r="539" spans="2:10" x14ac:dyDescent="0.25">
      <c r="B539" s="40" t="s">
        <v>326</v>
      </c>
      <c r="C539" s="40" t="s">
        <v>359</v>
      </c>
      <c r="D539" s="40"/>
      <c r="E539" s="40" t="s">
        <v>291</v>
      </c>
      <c r="F539" s="40"/>
      <c r="G539" s="40" t="s">
        <v>379</v>
      </c>
      <c r="H539" s="40" t="s">
        <v>9</v>
      </c>
      <c r="I539" s="38">
        <v>580</v>
      </c>
      <c r="J539" s="38">
        <v>26246</v>
      </c>
    </row>
    <row r="540" spans="2:10" x14ac:dyDescent="0.25">
      <c r="B540" s="40" t="s">
        <v>326</v>
      </c>
      <c r="C540" s="40" t="s">
        <v>359</v>
      </c>
      <c r="D540" s="40"/>
      <c r="E540" s="40" t="s">
        <v>291</v>
      </c>
      <c r="F540" s="40"/>
      <c r="G540" s="40" t="s">
        <v>378</v>
      </c>
      <c r="H540" s="40" t="s">
        <v>9</v>
      </c>
      <c r="I540" s="38">
        <v>210</v>
      </c>
      <c r="J540" s="38">
        <v>26456</v>
      </c>
    </row>
    <row r="541" spans="2:10" x14ac:dyDescent="0.25">
      <c r="B541" s="40" t="s">
        <v>326</v>
      </c>
      <c r="C541" s="40" t="s">
        <v>359</v>
      </c>
      <c r="D541" s="40"/>
      <c r="E541" s="40" t="s">
        <v>291</v>
      </c>
      <c r="F541" s="40"/>
      <c r="G541" s="40" t="s">
        <v>383</v>
      </c>
      <c r="H541" s="40" t="s">
        <v>9</v>
      </c>
      <c r="I541" s="38">
        <v>400</v>
      </c>
      <c r="J541" s="38">
        <v>26856</v>
      </c>
    </row>
    <row r="542" spans="2:10" x14ac:dyDescent="0.25">
      <c r="B542" s="40" t="s">
        <v>326</v>
      </c>
      <c r="C542" s="40" t="s">
        <v>359</v>
      </c>
      <c r="D542" s="40"/>
      <c r="E542" s="40" t="s">
        <v>291</v>
      </c>
      <c r="F542" s="40"/>
      <c r="G542" s="40" t="s">
        <v>377</v>
      </c>
      <c r="H542" s="40" t="s">
        <v>9</v>
      </c>
      <c r="I542" s="38">
        <v>330</v>
      </c>
      <c r="J542" s="38">
        <v>27186</v>
      </c>
    </row>
    <row r="543" spans="2:10" x14ac:dyDescent="0.25">
      <c r="B543" s="40" t="s">
        <v>326</v>
      </c>
      <c r="C543" s="40" t="s">
        <v>359</v>
      </c>
      <c r="D543" s="40"/>
      <c r="E543" s="40" t="s">
        <v>291</v>
      </c>
      <c r="F543" s="40"/>
      <c r="G543" s="40" t="s">
        <v>382</v>
      </c>
      <c r="H543" s="40" t="s">
        <v>9</v>
      </c>
      <c r="I543" s="38">
        <v>280</v>
      </c>
      <c r="J543" s="38">
        <v>27466</v>
      </c>
    </row>
    <row r="544" spans="2:10" x14ac:dyDescent="0.25">
      <c r="B544" s="40" t="s">
        <v>326</v>
      </c>
      <c r="C544" s="40" t="s">
        <v>359</v>
      </c>
      <c r="D544" s="40"/>
      <c r="E544" s="40" t="s">
        <v>291</v>
      </c>
      <c r="F544" s="40"/>
      <c r="G544" s="40" t="s">
        <v>381</v>
      </c>
      <c r="H544" s="40" t="s">
        <v>9</v>
      </c>
      <c r="I544" s="38">
        <v>140</v>
      </c>
      <c r="J544" s="38">
        <v>27606</v>
      </c>
    </row>
    <row r="545" spans="2:10" x14ac:dyDescent="0.25">
      <c r="B545" s="40" t="s">
        <v>376</v>
      </c>
      <c r="C545" s="40" t="s">
        <v>359</v>
      </c>
      <c r="D545" s="40"/>
      <c r="E545" s="40" t="s">
        <v>291</v>
      </c>
      <c r="F545" s="40"/>
      <c r="G545" s="40" t="s">
        <v>456</v>
      </c>
      <c r="H545" s="40" t="s">
        <v>9</v>
      </c>
      <c r="I545" s="38">
        <v>130</v>
      </c>
      <c r="J545" s="38">
        <v>27736</v>
      </c>
    </row>
    <row r="546" spans="2:10" x14ac:dyDescent="0.25">
      <c r="B546" s="40" t="s">
        <v>376</v>
      </c>
      <c r="C546" s="40" t="s">
        <v>359</v>
      </c>
      <c r="D546" s="40"/>
      <c r="E546" s="40" t="s">
        <v>291</v>
      </c>
      <c r="F546" s="40"/>
      <c r="G546" s="40" t="s">
        <v>375</v>
      </c>
      <c r="H546" s="40" t="s">
        <v>9</v>
      </c>
      <c r="I546" s="38">
        <v>395</v>
      </c>
      <c r="J546" s="38">
        <v>28131</v>
      </c>
    </row>
    <row r="547" spans="2:10" x14ac:dyDescent="0.25">
      <c r="B547" s="40" t="s">
        <v>322</v>
      </c>
      <c r="C547" s="40" t="s">
        <v>359</v>
      </c>
      <c r="D547" s="40"/>
      <c r="E547" s="40" t="s">
        <v>291</v>
      </c>
      <c r="F547" s="40"/>
      <c r="G547" s="40" t="s">
        <v>373</v>
      </c>
      <c r="H547" s="40" t="s">
        <v>9</v>
      </c>
      <c r="I547" s="38">
        <v>2410</v>
      </c>
      <c r="J547" s="38">
        <v>30541</v>
      </c>
    </row>
    <row r="548" spans="2:10" x14ac:dyDescent="0.25">
      <c r="B548" s="40" t="s">
        <v>322</v>
      </c>
      <c r="C548" s="40" t="s">
        <v>359</v>
      </c>
      <c r="D548" s="40"/>
      <c r="E548" s="40" t="s">
        <v>291</v>
      </c>
      <c r="F548" s="40"/>
      <c r="G548" s="40" t="s">
        <v>374</v>
      </c>
      <c r="H548" s="40" t="s">
        <v>9</v>
      </c>
      <c r="I548" s="38">
        <v>145</v>
      </c>
      <c r="J548" s="38">
        <v>30686</v>
      </c>
    </row>
    <row r="549" spans="2:10" x14ac:dyDescent="0.25">
      <c r="B549" s="40" t="s">
        <v>322</v>
      </c>
      <c r="C549" s="40" t="s">
        <v>359</v>
      </c>
      <c r="D549" s="40"/>
      <c r="E549" s="40" t="s">
        <v>291</v>
      </c>
      <c r="F549" s="40"/>
      <c r="G549" s="40" t="s">
        <v>597</v>
      </c>
      <c r="H549" s="40" t="s">
        <v>9</v>
      </c>
      <c r="I549" s="38">
        <v>1360</v>
      </c>
      <c r="J549" s="38">
        <v>32046</v>
      </c>
    </row>
    <row r="550" spans="2:10" x14ac:dyDescent="0.25">
      <c r="B550" s="40" t="s">
        <v>371</v>
      </c>
      <c r="C550" s="40" t="s">
        <v>359</v>
      </c>
      <c r="D550" s="40"/>
      <c r="E550" s="40" t="s">
        <v>291</v>
      </c>
      <c r="F550" s="40"/>
      <c r="G550" s="40" t="s">
        <v>370</v>
      </c>
      <c r="H550" s="40" t="s">
        <v>9</v>
      </c>
      <c r="I550" s="38">
        <v>60</v>
      </c>
      <c r="J550" s="38">
        <v>32106</v>
      </c>
    </row>
    <row r="551" spans="2:10" x14ac:dyDescent="0.25">
      <c r="B551" s="40" t="s">
        <v>371</v>
      </c>
      <c r="C551" s="40" t="s">
        <v>359</v>
      </c>
      <c r="D551" s="40"/>
      <c r="E551" s="40" t="s">
        <v>291</v>
      </c>
      <c r="F551" s="40"/>
      <c r="G551" s="40" t="s">
        <v>372</v>
      </c>
      <c r="H551" s="40" t="s">
        <v>9</v>
      </c>
      <c r="I551" s="38">
        <v>605</v>
      </c>
      <c r="J551" s="38">
        <v>32711</v>
      </c>
    </row>
    <row r="552" spans="2:10" x14ac:dyDescent="0.25">
      <c r="B552" s="40" t="s">
        <v>368</v>
      </c>
      <c r="C552" s="40" t="s">
        <v>359</v>
      </c>
      <c r="D552" s="40"/>
      <c r="E552" s="40" t="s">
        <v>291</v>
      </c>
      <c r="F552" s="40"/>
      <c r="G552" s="40" t="s">
        <v>367</v>
      </c>
      <c r="H552" s="40" t="s">
        <v>9</v>
      </c>
      <c r="I552" s="38">
        <v>170</v>
      </c>
      <c r="J552" s="38">
        <v>32881</v>
      </c>
    </row>
    <row r="553" spans="2:10" x14ac:dyDescent="0.25">
      <c r="B553" s="40" t="s">
        <v>368</v>
      </c>
      <c r="C553" s="40" t="s">
        <v>359</v>
      </c>
      <c r="D553" s="40"/>
      <c r="E553" s="40" t="s">
        <v>291</v>
      </c>
      <c r="F553" s="40"/>
      <c r="G553" s="40" t="s">
        <v>369</v>
      </c>
      <c r="H553" s="40" t="s">
        <v>9</v>
      </c>
      <c r="I553" s="38">
        <v>120</v>
      </c>
      <c r="J553" s="38">
        <v>33001</v>
      </c>
    </row>
    <row r="554" spans="2:10" x14ac:dyDescent="0.25">
      <c r="B554" s="40" t="s">
        <v>362</v>
      </c>
      <c r="C554" s="40" t="s">
        <v>359</v>
      </c>
      <c r="D554" s="40"/>
      <c r="E554" s="40" t="s">
        <v>291</v>
      </c>
      <c r="F554" s="40"/>
      <c r="G554" s="40" t="s">
        <v>363</v>
      </c>
      <c r="H554" s="40" t="s">
        <v>9</v>
      </c>
      <c r="I554" s="38">
        <v>310</v>
      </c>
      <c r="J554" s="38">
        <v>33311</v>
      </c>
    </row>
    <row r="555" spans="2:10" x14ac:dyDescent="0.25">
      <c r="B555" s="40" t="s">
        <v>362</v>
      </c>
      <c r="C555" s="40" t="s">
        <v>359</v>
      </c>
      <c r="D555" s="40"/>
      <c r="E555" s="40" t="s">
        <v>291</v>
      </c>
      <c r="F555" s="40"/>
      <c r="G555" s="40" t="s">
        <v>365</v>
      </c>
      <c r="H555" s="40" t="s">
        <v>9</v>
      </c>
      <c r="I555" s="38">
        <v>500</v>
      </c>
      <c r="J555" s="38">
        <v>33811</v>
      </c>
    </row>
    <row r="556" spans="2:10" x14ac:dyDescent="0.25">
      <c r="B556" s="40" t="s">
        <v>362</v>
      </c>
      <c r="C556" s="40" t="s">
        <v>359</v>
      </c>
      <c r="D556" s="40"/>
      <c r="E556" s="40" t="s">
        <v>291</v>
      </c>
      <c r="F556" s="40"/>
      <c r="G556" s="40" t="s">
        <v>366</v>
      </c>
      <c r="H556" s="40" t="s">
        <v>9</v>
      </c>
      <c r="I556" s="38">
        <v>200.03</v>
      </c>
      <c r="J556" s="38">
        <v>34011.03</v>
      </c>
    </row>
    <row r="557" spans="2:10" x14ac:dyDescent="0.25">
      <c r="B557" s="40" t="s">
        <v>362</v>
      </c>
      <c r="C557" s="40" t="s">
        <v>359</v>
      </c>
      <c r="D557" s="40"/>
      <c r="E557" s="40" t="s">
        <v>291</v>
      </c>
      <c r="F557" s="40"/>
      <c r="G557" s="40" t="s">
        <v>364</v>
      </c>
      <c r="H557" s="40" t="s">
        <v>9</v>
      </c>
      <c r="I557" s="38">
        <v>335</v>
      </c>
      <c r="J557" s="38">
        <v>34346.03</v>
      </c>
    </row>
    <row r="558" spans="2:10" x14ac:dyDescent="0.25">
      <c r="B558" s="40" t="s">
        <v>362</v>
      </c>
      <c r="C558" s="40" t="s">
        <v>359</v>
      </c>
      <c r="D558" s="40"/>
      <c r="E558" s="40" t="s">
        <v>291</v>
      </c>
      <c r="F558" s="40"/>
      <c r="G558" s="40" t="s">
        <v>361</v>
      </c>
      <c r="H558" s="40" t="s">
        <v>9</v>
      </c>
      <c r="I558" s="38">
        <v>430</v>
      </c>
      <c r="J558" s="38">
        <v>34776.03</v>
      </c>
    </row>
    <row r="559" spans="2:10" x14ac:dyDescent="0.25">
      <c r="B559" s="40" t="s">
        <v>294</v>
      </c>
      <c r="C559" s="40" t="s">
        <v>359</v>
      </c>
      <c r="D559" s="40"/>
      <c r="E559" s="40" t="s">
        <v>291</v>
      </c>
      <c r="F559" s="40"/>
      <c r="G559" s="40" t="s">
        <v>360</v>
      </c>
      <c r="H559" s="40" t="s">
        <v>9</v>
      </c>
      <c r="I559" s="38">
        <v>275</v>
      </c>
      <c r="J559" s="38">
        <v>35051.03</v>
      </c>
    </row>
    <row r="560" spans="2:10" x14ac:dyDescent="0.25">
      <c r="B560" s="40" t="s">
        <v>294</v>
      </c>
      <c r="C560" s="40" t="s">
        <v>359</v>
      </c>
      <c r="D560" s="40"/>
      <c r="E560" s="40" t="s">
        <v>291</v>
      </c>
      <c r="F560" s="40"/>
      <c r="G560" s="40" t="s">
        <v>358</v>
      </c>
      <c r="H560" s="40" t="s">
        <v>9</v>
      </c>
      <c r="I560" s="38">
        <v>330</v>
      </c>
      <c r="J560" s="38">
        <v>35381.03</v>
      </c>
    </row>
    <row r="561" spans="1:10" x14ac:dyDescent="0.25">
      <c r="A561" s="24" t="s">
        <v>615</v>
      </c>
      <c r="I561" s="37">
        <v>24571.03</v>
      </c>
    </row>
    <row r="562" spans="1:10" x14ac:dyDescent="0.25">
      <c r="A562" s="24" t="s">
        <v>614</v>
      </c>
    </row>
    <row r="563" spans="1:10" x14ac:dyDescent="0.25">
      <c r="B563" s="40" t="s">
        <v>301</v>
      </c>
      <c r="J563" s="38">
        <v>8180</v>
      </c>
    </row>
    <row r="564" spans="1:10" x14ac:dyDescent="0.25">
      <c r="B564" s="40" t="s">
        <v>298</v>
      </c>
      <c r="C564" s="40" t="s">
        <v>611</v>
      </c>
      <c r="D564" s="40">
        <v>2444</v>
      </c>
      <c r="E564" s="40" t="s">
        <v>291</v>
      </c>
      <c r="F564" s="40" t="s">
        <v>610</v>
      </c>
      <c r="G564" s="40" t="s">
        <v>609</v>
      </c>
      <c r="H564" s="40" t="s">
        <v>14</v>
      </c>
      <c r="I564" s="38">
        <v>1830</v>
      </c>
      <c r="J564" s="38">
        <v>10010</v>
      </c>
    </row>
    <row r="565" spans="1:10" x14ac:dyDescent="0.25">
      <c r="B565" s="40" t="s">
        <v>418</v>
      </c>
      <c r="C565" s="40" t="s">
        <v>611</v>
      </c>
      <c r="D565" s="40">
        <v>2445</v>
      </c>
      <c r="E565" s="40" t="s">
        <v>291</v>
      </c>
      <c r="F565" s="40" t="s">
        <v>610</v>
      </c>
      <c r="G565" s="40" t="s">
        <v>609</v>
      </c>
      <c r="H565" s="40" t="s">
        <v>14</v>
      </c>
      <c r="I565" s="38">
        <v>180</v>
      </c>
      <c r="J565" s="38">
        <v>10190</v>
      </c>
    </row>
    <row r="566" spans="1:10" x14ac:dyDescent="0.25">
      <c r="B566" s="40" t="s">
        <v>415</v>
      </c>
      <c r="C566" s="40" t="s">
        <v>611</v>
      </c>
      <c r="D566" s="40">
        <v>2446</v>
      </c>
      <c r="E566" s="40" t="s">
        <v>291</v>
      </c>
      <c r="F566" s="40" t="s">
        <v>610</v>
      </c>
      <c r="G566" s="40" t="s">
        <v>609</v>
      </c>
      <c r="H566" s="40" t="s">
        <v>14</v>
      </c>
      <c r="I566" s="38">
        <v>4690</v>
      </c>
      <c r="J566" s="38">
        <v>14880</v>
      </c>
    </row>
    <row r="567" spans="1:10" x14ac:dyDescent="0.25">
      <c r="B567" s="40" t="s">
        <v>351</v>
      </c>
      <c r="C567" s="40" t="s">
        <v>611</v>
      </c>
      <c r="D567" s="40">
        <v>2449</v>
      </c>
      <c r="E567" s="40" t="s">
        <v>291</v>
      </c>
      <c r="F567" s="40" t="s">
        <v>610</v>
      </c>
      <c r="G567" s="40" t="s">
        <v>609</v>
      </c>
      <c r="H567" s="40" t="s">
        <v>14</v>
      </c>
      <c r="I567" s="38">
        <v>4700</v>
      </c>
      <c r="J567" s="38">
        <v>19580</v>
      </c>
    </row>
    <row r="568" spans="1:10" x14ac:dyDescent="0.25">
      <c r="B568" s="40" t="s">
        <v>315</v>
      </c>
      <c r="C568" s="40" t="s">
        <v>611</v>
      </c>
      <c r="D568" s="40">
        <v>2450</v>
      </c>
      <c r="E568" s="40" t="s">
        <v>291</v>
      </c>
      <c r="F568" s="40" t="s">
        <v>610</v>
      </c>
      <c r="G568" s="40" t="s">
        <v>609</v>
      </c>
      <c r="H568" s="40" t="s">
        <v>14</v>
      </c>
      <c r="I568" s="38">
        <v>5440</v>
      </c>
      <c r="J568" s="38">
        <v>25020</v>
      </c>
    </row>
    <row r="569" spans="1:10" x14ac:dyDescent="0.25">
      <c r="B569" s="40" t="s">
        <v>346</v>
      </c>
      <c r="C569" s="40" t="s">
        <v>611</v>
      </c>
      <c r="D569" s="40">
        <v>2452</v>
      </c>
      <c r="E569" s="40" t="s">
        <v>291</v>
      </c>
      <c r="F569" s="40" t="s">
        <v>610</v>
      </c>
      <c r="G569" s="40" t="s">
        <v>609</v>
      </c>
      <c r="H569" s="40" t="s">
        <v>14</v>
      </c>
      <c r="I569" s="38">
        <v>450</v>
      </c>
      <c r="J569" s="38">
        <v>25470</v>
      </c>
    </row>
    <row r="570" spans="1:10" x14ac:dyDescent="0.25">
      <c r="B570" s="40" t="s">
        <v>339</v>
      </c>
      <c r="C570" s="40" t="s">
        <v>611</v>
      </c>
      <c r="D570" s="40">
        <v>2457</v>
      </c>
      <c r="E570" s="40" t="s">
        <v>291</v>
      </c>
      <c r="F570" s="40" t="s">
        <v>610</v>
      </c>
      <c r="G570" s="40" t="s">
        <v>609</v>
      </c>
      <c r="H570" s="40" t="s">
        <v>14</v>
      </c>
      <c r="I570" s="38">
        <v>100</v>
      </c>
      <c r="J570" s="38">
        <v>25570</v>
      </c>
    </row>
    <row r="571" spans="1:10" x14ac:dyDescent="0.25">
      <c r="B571" s="40" t="s">
        <v>337</v>
      </c>
      <c r="C571" s="40" t="s">
        <v>611</v>
      </c>
      <c r="D571" s="40">
        <v>2458</v>
      </c>
      <c r="E571" s="40" t="s">
        <v>291</v>
      </c>
      <c r="F571" s="40" t="s">
        <v>610</v>
      </c>
      <c r="G571" s="40" t="s">
        <v>609</v>
      </c>
      <c r="H571" s="40" t="s">
        <v>14</v>
      </c>
      <c r="I571" s="38">
        <v>450</v>
      </c>
      <c r="J571" s="38">
        <v>26020</v>
      </c>
    </row>
    <row r="572" spans="1:10" x14ac:dyDescent="0.25">
      <c r="B572" s="40" t="s">
        <v>329</v>
      </c>
      <c r="C572" s="40" t="s">
        <v>611</v>
      </c>
      <c r="D572" s="40">
        <v>2460</v>
      </c>
      <c r="E572" s="40" t="s">
        <v>291</v>
      </c>
      <c r="F572" s="40" t="s">
        <v>610</v>
      </c>
      <c r="G572" s="40" t="s">
        <v>609</v>
      </c>
      <c r="H572" s="40" t="s">
        <v>14</v>
      </c>
      <c r="I572" s="38">
        <v>1760</v>
      </c>
      <c r="J572" s="38">
        <v>27780</v>
      </c>
    </row>
    <row r="573" spans="1:10" x14ac:dyDescent="0.25">
      <c r="B573" s="40" t="s">
        <v>322</v>
      </c>
      <c r="C573" s="40" t="s">
        <v>611</v>
      </c>
      <c r="D573" s="40">
        <v>2462</v>
      </c>
      <c r="E573" s="40" t="s">
        <v>291</v>
      </c>
      <c r="F573" s="40" t="s">
        <v>610</v>
      </c>
      <c r="G573" s="40" t="s">
        <v>609</v>
      </c>
      <c r="H573" s="40" t="s">
        <v>14</v>
      </c>
      <c r="I573" s="38">
        <v>4810</v>
      </c>
      <c r="J573" s="38">
        <v>32590</v>
      </c>
    </row>
    <row r="574" spans="1:10" x14ac:dyDescent="0.25">
      <c r="B574" s="40" t="s">
        <v>322</v>
      </c>
      <c r="C574" s="40" t="s">
        <v>611</v>
      </c>
      <c r="D574" s="40">
        <v>2463</v>
      </c>
      <c r="E574" s="40" t="s">
        <v>291</v>
      </c>
      <c r="F574" s="40" t="s">
        <v>610</v>
      </c>
      <c r="G574" s="40" t="s">
        <v>609</v>
      </c>
      <c r="H574" s="40" t="s">
        <v>14</v>
      </c>
      <c r="I574" s="38">
        <v>4090</v>
      </c>
      <c r="J574" s="38">
        <v>36680</v>
      </c>
    </row>
    <row r="575" spans="1:10" x14ac:dyDescent="0.25">
      <c r="B575" s="40" t="s">
        <v>371</v>
      </c>
      <c r="C575" s="40" t="s">
        <v>611</v>
      </c>
      <c r="D575" s="40">
        <v>2464</v>
      </c>
      <c r="E575" s="40" t="s">
        <v>291</v>
      </c>
      <c r="F575" s="40" t="s">
        <v>610</v>
      </c>
      <c r="G575" s="40" t="s">
        <v>609</v>
      </c>
      <c r="H575" s="40" t="s">
        <v>14</v>
      </c>
      <c r="I575" s="38">
        <v>420</v>
      </c>
      <c r="J575" s="38">
        <v>37100</v>
      </c>
    </row>
    <row r="576" spans="1:10" x14ac:dyDescent="0.25">
      <c r="B576" s="40" t="s">
        <v>613</v>
      </c>
      <c r="C576" s="40" t="s">
        <v>611</v>
      </c>
      <c r="D576" s="40">
        <v>2465</v>
      </c>
      <c r="E576" s="40" t="s">
        <v>291</v>
      </c>
      <c r="F576" s="40" t="s">
        <v>610</v>
      </c>
      <c r="G576" s="40" t="s">
        <v>609</v>
      </c>
      <c r="H576" s="40" t="s">
        <v>14</v>
      </c>
      <c r="I576" s="38">
        <v>4510</v>
      </c>
      <c r="J576" s="38">
        <v>41610</v>
      </c>
    </row>
    <row r="577" spans="1:10" x14ac:dyDescent="0.25">
      <c r="B577" s="40" t="s">
        <v>612</v>
      </c>
      <c r="C577" s="40" t="s">
        <v>611</v>
      </c>
      <c r="D577" s="40">
        <v>2466</v>
      </c>
      <c r="E577" s="40" t="s">
        <v>291</v>
      </c>
      <c r="F577" s="40" t="s">
        <v>610</v>
      </c>
      <c r="G577" s="40" t="s">
        <v>609</v>
      </c>
      <c r="H577" s="40" t="s">
        <v>14</v>
      </c>
      <c r="I577" s="38">
        <v>3640</v>
      </c>
      <c r="J577" s="38">
        <v>45250</v>
      </c>
    </row>
    <row r="578" spans="1:10" x14ac:dyDescent="0.25">
      <c r="A578" s="24" t="s">
        <v>608</v>
      </c>
      <c r="I578" s="37">
        <v>37070</v>
      </c>
    </row>
    <row r="579" spans="1:10" x14ac:dyDescent="0.25">
      <c r="A579" s="24" t="s">
        <v>607</v>
      </c>
    </row>
    <row r="580" spans="1:10" x14ac:dyDescent="0.25">
      <c r="B580" s="40" t="s">
        <v>301</v>
      </c>
      <c r="J580" s="38">
        <v>295</v>
      </c>
    </row>
    <row r="581" spans="1:10" x14ac:dyDescent="0.25">
      <c r="A581" s="24" t="s">
        <v>606</v>
      </c>
      <c r="I581" s="37" t="s">
        <v>299</v>
      </c>
    </row>
    <row r="582" spans="1:10" x14ac:dyDescent="0.25">
      <c r="A582" s="24" t="s">
        <v>184</v>
      </c>
      <c r="I582" s="37">
        <v>77811.03</v>
      </c>
    </row>
    <row r="583" spans="1:10" x14ac:dyDescent="0.25">
      <c r="A583" s="24" t="s">
        <v>183</v>
      </c>
    </row>
    <row r="584" spans="1:10" x14ac:dyDescent="0.25">
      <c r="B584" s="40" t="s">
        <v>474</v>
      </c>
      <c r="J584" s="38">
        <v>394.52</v>
      </c>
    </row>
    <row r="585" spans="1:10" x14ac:dyDescent="0.25">
      <c r="B585" s="40" t="s">
        <v>322</v>
      </c>
      <c r="C585" s="40" t="s">
        <v>293</v>
      </c>
      <c r="D585" s="40"/>
      <c r="E585" s="40" t="s">
        <v>291</v>
      </c>
      <c r="F585" s="40"/>
      <c r="G585" s="40" t="s">
        <v>605</v>
      </c>
      <c r="H585" s="39" t="s">
        <v>289</v>
      </c>
      <c r="I585" s="38">
        <v>114.77</v>
      </c>
      <c r="J585" s="38">
        <v>509.29</v>
      </c>
    </row>
    <row r="586" spans="1:10" x14ac:dyDescent="0.25">
      <c r="A586" s="24" t="s">
        <v>604</v>
      </c>
      <c r="I586" s="37">
        <v>114.77</v>
      </c>
    </row>
    <row r="587" spans="1:10" x14ac:dyDescent="0.25">
      <c r="A587" s="24" t="s">
        <v>182</v>
      </c>
    </row>
    <row r="588" spans="1:10" x14ac:dyDescent="0.25">
      <c r="B588" s="40" t="s">
        <v>474</v>
      </c>
      <c r="J588" s="38">
        <v>2589.69</v>
      </c>
    </row>
    <row r="589" spans="1:10" x14ac:dyDescent="0.25">
      <c r="B589" s="40" t="s">
        <v>294</v>
      </c>
      <c r="C589" s="40" t="s">
        <v>359</v>
      </c>
      <c r="D589" s="40"/>
      <c r="E589" s="40" t="s">
        <v>291</v>
      </c>
      <c r="F589" s="40" t="s">
        <v>603</v>
      </c>
      <c r="G589" s="40" t="s">
        <v>602</v>
      </c>
      <c r="H589" s="40" t="s">
        <v>8</v>
      </c>
      <c r="I589" s="38">
        <v>13.87</v>
      </c>
      <c r="J589" s="38">
        <v>2603.56</v>
      </c>
    </row>
    <row r="590" spans="1:10" x14ac:dyDescent="0.25">
      <c r="A590" s="24" t="s">
        <v>601</v>
      </c>
      <c r="I590" s="37">
        <v>13.87</v>
      </c>
    </row>
    <row r="591" spans="1:10" x14ac:dyDescent="0.25">
      <c r="A591" s="24" t="s">
        <v>181</v>
      </c>
    </row>
    <row r="592" spans="1:10" x14ac:dyDescent="0.25">
      <c r="B592" s="40" t="s">
        <v>474</v>
      </c>
      <c r="J592" s="38">
        <v>7269.7</v>
      </c>
    </row>
    <row r="593" spans="2:10" x14ac:dyDescent="0.25">
      <c r="B593" s="40" t="s">
        <v>298</v>
      </c>
      <c r="C593" s="40" t="s">
        <v>359</v>
      </c>
      <c r="D593" s="40"/>
      <c r="E593" s="40" t="s">
        <v>291</v>
      </c>
      <c r="F593" s="40" t="s">
        <v>426</v>
      </c>
      <c r="G593" s="40" t="s">
        <v>425</v>
      </c>
      <c r="H593" s="40" t="s">
        <v>9</v>
      </c>
      <c r="I593" s="38">
        <v>151</v>
      </c>
      <c r="J593" s="38">
        <v>7420.7</v>
      </c>
    </row>
    <row r="594" spans="2:10" x14ac:dyDescent="0.25">
      <c r="B594" s="40" t="s">
        <v>298</v>
      </c>
      <c r="C594" s="40" t="s">
        <v>359</v>
      </c>
      <c r="D594" s="40"/>
      <c r="E594" s="40" t="s">
        <v>291</v>
      </c>
      <c r="F594" s="40"/>
      <c r="G594" s="40" t="s">
        <v>430</v>
      </c>
      <c r="H594" s="40" t="s">
        <v>9</v>
      </c>
      <c r="I594" s="38">
        <v>527.99</v>
      </c>
      <c r="J594" s="38">
        <v>7948.69</v>
      </c>
    </row>
    <row r="595" spans="2:10" x14ac:dyDescent="0.25">
      <c r="B595" s="40" t="s">
        <v>298</v>
      </c>
      <c r="C595" s="40" t="s">
        <v>359</v>
      </c>
      <c r="D595" s="40"/>
      <c r="E595" s="40" t="s">
        <v>291</v>
      </c>
      <c r="F595" s="40"/>
      <c r="G595" s="40" t="s">
        <v>429</v>
      </c>
      <c r="H595" s="40" t="s">
        <v>9</v>
      </c>
      <c r="I595" s="38">
        <v>126.95</v>
      </c>
      <c r="J595" s="38">
        <v>8075.64</v>
      </c>
    </row>
    <row r="596" spans="2:10" x14ac:dyDescent="0.25">
      <c r="B596" s="40" t="s">
        <v>298</v>
      </c>
      <c r="C596" s="40" t="s">
        <v>359</v>
      </c>
      <c r="D596" s="40"/>
      <c r="E596" s="40" t="s">
        <v>291</v>
      </c>
      <c r="F596" s="40"/>
      <c r="G596" s="40" t="s">
        <v>428</v>
      </c>
      <c r="H596" s="40" t="s">
        <v>9</v>
      </c>
      <c r="I596" s="38">
        <v>67.94</v>
      </c>
      <c r="J596" s="38">
        <v>8143.58</v>
      </c>
    </row>
    <row r="597" spans="2:10" x14ac:dyDescent="0.25">
      <c r="B597" s="40" t="s">
        <v>318</v>
      </c>
      <c r="C597" s="40" t="s">
        <v>359</v>
      </c>
      <c r="D597" s="40"/>
      <c r="E597" s="40" t="s">
        <v>291</v>
      </c>
      <c r="F597" s="40"/>
      <c r="G597" s="40" t="s">
        <v>420</v>
      </c>
      <c r="H597" s="40" t="s">
        <v>9</v>
      </c>
      <c r="I597" s="38">
        <v>280</v>
      </c>
      <c r="J597" s="38">
        <v>8423.58</v>
      </c>
    </row>
    <row r="598" spans="2:10" x14ac:dyDescent="0.25">
      <c r="B598" s="40" t="s">
        <v>412</v>
      </c>
      <c r="C598" s="40" t="s">
        <v>359</v>
      </c>
      <c r="D598" s="40"/>
      <c r="E598" s="40" t="s">
        <v>291</v>
      </c>
      <c r="F598" s="40"/>
      <c r="G598" s="40" t="s">
        <v>413</v>
      </c>
      <c r="H598" s="40" t="s">
        <v>9</v>
      </c>
      <c r="I598" s="38">
        <v>152.94999999999999</v>
      </c>
      <c r="J598" s="38">
        <v>8576.5300000000007</v>
      </c>
    </row>
    <row r="599" spans="2:10" x14ac:dyDescent="0.25">
      <c r="B599" s="40" t="s">
        <v>412</v>
      </c>
      <c r="C599" s="40" t="s">
        <v>359</v>
      </c>
      <c r="D599" s="40"/>
      <c r="E599" s="40" t="s">
        <v>291</v>
      </c>
      <c r="F599" s="40"/>
      <c r="G599" s="40" t="s">
        <v>411</v>
      </c>
      <c r="H599" s="40" t="s">
        <v>9</v>
      </c>
      <c r="I599" s="38">
        <v>57</v>
      </c>
      <c r="J599" s="38">
        <v>8633.5300000000007</v>
      </c>
    </row>
    <row r="600" spans="2:10" x14ac:dyDescent="0.25">
      <c r="B600" s="40" t="s">
        <v>351</v>
      </c>
      <c r="C600" s="40" t="s">
        <v>359</v>
      </c>
      <c r="D600" s="40"/>
      <c r="E600" s="40" t="s">
        <v>291</v>
      </c>
      <c r="F600" s="40"/>
      <c r="G600" s="40" t="s">
        <v>409</v>
      </c>
      <c r="H600" s="40" t="s">
        <v>9</v>
      </c>
      <c r="I600" s="38">
        <v>12</v>
      </c>
      <c r="J600" s="38">
        <v>8645.5300000000007</v>
      </c>
    </row>
    <row r="601" spans="2:10" x14ac:dyDescent="0.25">
      <c r="B601" s="40" t="s">
        <v>351</v>
      </c>
      <c r="C601" s="40" t="s">
        <v>359</v>
      </c>
      <c r="D601" s="40"/>
      <c r="E601" s="40" t="s">
        <v>291</v>
      </c>
      <c r="F601" s="40"/>
      <c r="G601" s="40" t="s">
        <v>407</v>
      </c>
      <c r="H601" s="40" t="s">
        <v>9</v>
      </c>
      <c r="I601" s="38">
        <v>152.97999999999999</v>
      </c>
      <c r="J601" s="38">
        <v>8798.51</v>
      </c>
    </row>
    <row r="602" spans="2:10" x14ac:dyDescent="0.25">
      <c r="B602" s="40" t="s">
        <v>351</v>
      </c>
      <c r="C602" s="40" t="s">
        <v>359</v>
      </c>
      <c r="D602" s="40"/>
      <c r="E602" s="40" t="s">
        <v>291</v>
      </c>
      <c r="F602" s="40"/>
      <c r="G602" s="40" t="s">
        <v>406</v>
      </c>
      <c r="H602" s="40" t="s">
        <v>9</v>
      </c>
      <c r="I602" s="38">
        <v>9.6</v>
      </c>
      <c r="J602" s="38">
        <v>8808.11</v>
      </c>
    </row>
    <row r="603" spans="2:10" x14ac:dyDescent="0.25">
      <c r="B603" s="40" t="s">
        <v>351</v>
      </c>
      <c r="C603" s="40" t="s">
        <v>359</v>
      </c>
      <c r="D603" s="40"/>
      <c r="E603" s="40" t="s">
        <v>291</v>
      </c>
      <c r="F603" s="40"/>
      <c r="G603" s="40" t="s">
        <v>410</v>
      </c>
      <c r="H603" s="40" t="s">
        <v>9</v>
      </c>
      <c r="I603" s="38">
        <v>885.18</v>
      </c>
      <c r="J603" s="38">
        <v>9693.2900000000009</v>
      </c>
    </row>
    <row r="604" spans="2:10" x14ac:dyDescent="0.25">
      <c r="B604" s="40" t="s">
        <v>351</v>
      </c>
      <c r="C604" s="40" t="s">
        <v>359</v>
      </c>
      <c r="D604" s="40"/>
      <c r="E604" s="40" t="s">
        <v>291</v>
      </c>
      <c r="F604" s="40"/>
      <c r="G604" s="40" t="s">
        <v>408</v>
      </c>
      <c r="H604" s="40" t="s">
        <v>9</v>
      </c>
      <c r="I604" s="38">
        <v>9</v>
      </c>
      <c r="J604" s="38">
        <v>9702.2900000000009</v>
      </c>
    </row>
    <row r="605" spans="2:10" x14ac:dyDescent="0.25">
      <c r="B605" s="40" t="s">
        <v>315</v>
      </c>
      <c r="C605" s="40" t="s">
        <v>359</v>
      </c>
      <c r="D605" s="40"/>
      <c r="E605" s="40" t="s">
        <v>291</v>
      </c>
      <c r="F605" s="40"/>
      <c r="G605" s="40" t="s">
        <v>404</v>
      </c>
      <c r="H605" s="40" t="s">
        <v>9</v>
      </c>
      <c r="I605" s="38">
        <v>193.89</v>
      </c>
      <c r="J605" s="38">
        <v>9896.18</v>
      </c>
    </row>
    <row r="606" spans="2:10" x14ac:dyDescent="0.25">
      <c r="B606" s="40" t="s">
        <v>315</v>
      </c>
      <c r="C606" s="40" t="s">
        <v>359</v>
      </c>
      <c r="D606" s="40"/>
      <c r="E606" s="40" t="s">
        <v>291</v>
      </c>
      <c r="F606" s="40"/>
      <c r="G606" s="40" t="s">
        <v>405</v>
      </c>
      <c r="H606" s="40" t="s">
        <v>9</v>
      </c>
      <c r="I606" s="38">
        <v>10</v>
      </c>
      <c r="J606" s="38">
        <v>9906.18</v>
      </c>
    </row>
    <row r="607" spans="2:10" x14ac:dyDescent="0.25">
      <c r="B607" s="40" t="s">
        <v>350</v>
      </c>
      <c r="C607" s="40" t="s">
        <v>359</v>
      </c>
      <c r="D607" s="40"/>
      <c r="E607" s="40" t="s">
        <v>291</v>
      </c>
      <c r="F607" s="40"/>
      <c r="G607" s="40" t="s">
        <v>400</v>
      </c>
      <c r="H607" s="40" t="s">
        <v>9</v>
      </c>
      <c r="I607" s="38">
        <v>582.69000000000005</v>
      </c>
      <c r="J607" s="38">
        <v>10488.87</v>
      </c>
    </row>
    <row r="608" spans="2:10" x14ac:dyDescent="0.25">
      <c r="B608" s="40" t="s">
        <v>350</v>
      </c>
      <c r="C608" s="40" t="s">
        <v>359</v>
      </c>
      <c r="D608" s="40"/>
      <c r="E608" s="40" t="s">
        <v>291</v>
      </c>
      <c r="F608" s="40"/>
      <c r="G608" s="40" t="s">
        <v>401</v>
      </c>
      <c r="H608" s="40" t="s">
        <v>9</v>
      </c>
      <c r="I608" s="38">
        <v>291</v>
      </c>
      <c r="J608" s="38">
        <v>10779.87</v>
      </c>
    </row>
    <row r="609" spans="2:10" x14ac:dyDescent="0.25">
      <c r="B609" s="40" t="s">
        <v>346</v>
      </c>
      <c r="C609" s="40" t="s">
        <v>359</v>
      </c>
      <c r="D609" s="40"/>
      <c r="E609" s="40" t="s">
        <v>291</v>
      </c>
      <c r="F609" s="40"/>
      <c r="G609" s="40" t="s">
        <v>398</v>
      </c>
      <c r="H609" s="40" t="s">
        <v>9</v>
      </c>
      <c r="I609" s="38">
        <v>1011.75</v>
      </c>
      <c r="J609" s="38">
        <v>11791.62</v>
      </c>
    </row>
    <row r="610" spans="2:10" x14ac:dyDescent="0.25">
      <c r="B610" s="40" t="s">
        <v>345</v>
      </c>
      <c r="C610" s="40" t="s">
        <v>359</v>
      </c>
      <c r="D610" s="40"/>
      <c r="E610" s="40" t="s">
        <v>291</v>
      </c>
      <c r="F610" s="40"/>
      <c r="G610" s="40" t="s">
        <v>395</v>
      </c>
      <c r="H610" s="40" t="s">
        <v>9</v>
      </c>
      <c r="I610" s="38">
        <v>242.89</v>
      </c>
      <c r="J610" s="38">
        <v>12034.51</v>
      </c>
    </row>
    <row r="611" spans="2:10" x14ac:dyDescent="0.25">
      <c r="B611" s="40" t="s">
        <v>310</v>
      </c>
      <c r="C611" s="40" t="s">
        <v>359</v>
      </c>
      <c r="D611" s="40"/>
      <c r="E611" s="40" t="s">
        <v>291</v>
      </c>
      <c r="F611" s="40"/>
      <c r="G611" s="40" t="s">
        <v>391</v>
      </c>
      <c r="H611" s="40" t="s">
        <v>9</v>
      </c>
      <c r="I611" s="38">
        <v>252.68</v>
      </c>
      <c r="J611" s="38">
        <v>12287.19</v>
      </c>
    </row>
    <row r="612" spans="2:10" x14ac:dyDescent="0.25">
      <c r="B612" s="40" t="s">
        <v>310</v>
      </c>
      <c r="C612" s="40" t="s">
        <v>359</v>
      </c>
      <c r="D612" s="40"/>
      <c r="E612" s="40" t="s">
        <v>291</v>
      </c>
      <c r="F612" s="40"/>
      <c r="G612" s="40" t="s">
        <v>394</v>
      </c>
      <c r="H612" s="40" t="s">
        <v>9</v>
      </c>
      <c r="I612" s="38">
        <v>517.64</v>
      </c>
      <c r="J612" s="38">
        <v>12804.83</v>
      </c>
    </row>
    <row r="613" spans="2:10" x14ac:dyDescent="0.25">
      <c r="B613" s="40" t="s">
        <v>310</v>
      </c>
      <c r="C613" s="40" t="s">
        <v>359</v>
      </c>
      <c r="D613" s="40"/>
      <c r="E613" s="40" t="s">
        <v>291</v>
      </c>
      <c r="F613" s="40"/>
      <c r="G613" s="40" t="s">
        <v>392</v>
      </c>
      <c r="H613" s="40" t="s">
        <v>9</v>
      </c>
      <c r="I613" s="38">
        <v>214.7</v>
      </c>
      <c r="J613" s="38">
        <v>13019.53</v>
      </c>
    </row>
    <row r="614" spans="2:10" x14ac:dyDescent="0.25">
      <c r="B614" s="40" t="s">
        <v>310</v>
      </c>
      <c r="C614" s="40" t="s">
        <v>359</v>
      </c>
      <c r="D614" s="40"/>
      <c r="E614" s="40" t="s">
        <v>291</v>
      </c>
      <c r="F614" s="40"/>
      <c r="G614" s="40" t="s">
        <v>390</v>
      </c>
      <c r="H614" s="40" t="s">
        <v>9</v>
      </c>
      <c r="I614" s="38">
        <v>84</v>
      </c>
      <c r="J614" s="38">
        <v>13103.53</v>
      </c>
    </row>
    <row r="615" spans="2:10" x14ac:dyDescent="0.25">
      <c r="B615" s="40" t="s">
        <v>343</v>
      </c>
      <c r="C615" s="40" t="s">
        <v>359</v>
      </c>
      <c r="D615" s="40"/>
      <c r="E615" s="40" t="s">
        <v>291</v>
      </c>
      <c r="F615" s="40"/>
      <c r="G615" s="40" t="s">
        <v>388</v>
      </c>
      <c r="H615" s="40" t="s">
        <v>9</v>
      </c>
      <c r="I615" s="38">
        <v>35.950000000000003</v>
      </c>
      <c r="J615" s="38">
        <v>13139.48</v>
      </c>
    </row>
    <row r="616" spans="2:10" x14ac:dyDescent="0.25">
      <c r="B616" s="40" t="s">
        <v>343</v>
      </c>
      <c r="C616" s="40" t="s">
        <v>359</v>
      </c>
      <c r="D616" s="40"/>
      <c r="E616" s="40" t="s">
        <v>291</v>
      </c>
      <c r="F616" s="40"/>
      <c r="G616" s="40" t="s">
        <v>389</v>
      </c>
      <c r="H616" s="40" t="s">
        <v>9</v>
      </c>
      <c r="I616" s="38">
        <v>5.6</v>
      </c>
      <c r="J616" s="38">
        <v>13145.08</v>
      </c>
    </row>
    <row r="617" spans="2:10" x14ac:dyDescent="0.25">
      <c r="B617" s="40" t="s">
        <v>339</v>
      </c>
      <c r="C617" s="40" t="s">
        <v>359</v>
      </c>
      <c r="D617" s="40"/>
      <c r="E617" s="40" t="s">
        <v>291</v>
      </c>
      <c r="F617" s="40"/>
      <c r="G617" s="40" t="s">
        <v>600</v>
      </c>
      <c r="H617" s="40" t="s">
        <v>9</v>
      </c>
      <c r="I617" s="38">
        <v>40</v>
      </c>
      <c r="J617" s="38">
        <v>13185.08</v>
      </c>
    </row>
    <row r="618" spans="2:10" x14ac:dyDescent="0.25">
      <c r="B618" s="40" t="s">
        <v>339</v>
      </c>
      <c r="C618" s="40" t="s">
        <v>359</v>
      </c>
      <c r="D618" s="40"/>
      <c r="E618" s="40" t="s">
        <v>291</v>
      </c>
      <c r="F618" s="40"/>
      <c r="G618" s="40" t="s">
        <v>599</v>
      </c>
      <c r="H618" s="40" t="s">
        <v>9</v>
      </c>
      <c r="I618" s="38">
        <v>79</v>
      </c>
      <c r="J618" s="38">
        <v>13264.08</v>
      </c>
    </row>
    <row r="619" spans="2:10" x14ac:dyDescent="0.25">
      <c r="B619" s="40" t="s">
        <v>339</v>
      </c>
      <c r="C619" s="40" t="s">
        <v>359</v>
      </c>
      <c r="D619" s="40"/>
      <c r="E619" s="40" t="s">
        <v>291</v>
      </c>
      <c r="F619" s="40"/>
      <c r="G619" s="40" t="s">
        <v>598</v>
      </c>
      <c r="H619" s="40" t="s">
        <v>9</v>
      </c>
      <c r="I619" s="38">
        <v>79</v>
      </c>
      <c r="J619" s="38">
        <v>13343.08</v>
      </c>
    </row>
    <row r="620" spans="2:10" x14ac:dyDescent="0.25">
      <c r="B620" s="40" t="s">
        <v>337</v>
      </c>
      <c r="C620" s="40" t="s">
        <v>359</v>
      </c>
      <c r="D620" s="40"/>
      <c r="E620" s="40" t="s">
        <v>291</v>
      </c>
      <c r="F620" s="40"/>
      <c r="G620" s="40" t="s">
        <v>384</v>
      </c>
      <c r="H620" s="40" t="s">
        <v>9</v>
      </c>
      <c r="I620" s="38">
        <v>70.95</v>
      </c>
      <c r="J620" s="38">
        <v>13414.03</v>
      </c>
    </row>
    <row r="621" spans="2:10" x14ac:dyDescent="0.25">
      <c r="B621" s="40" t="s">
        <v>337</v>
      </c>
      <c r="C621" s="40" t="s">
        <v>359</v>
      </c>
      <c r="D621" s="40"/>
      <c r="E621" s="40" t="s">
        <v>291</v>
      </c>
      <c r="F621" s="40"/>
      <c r="G621" s="40" t="s">
        <v>385</v>
      </c>
      <c r="H621" s="40" t="s">
        <v>9</v>
      </c>
      <c r="I621" s="38">
        <v>86</v>
      </c>
      <c r="J621" s="38">
        <v>13500.03</v>
      </c>
    </row>
    <row r="622" spans="2:10" x14ac:dyDescent="0.25">
      <c r="B622" s="40" t="s">
        <v>326</v>
      </c>
      <c r="C622" s="40" t="s">
        <v>359</v>
      </c>
      <c r="D622" s="40"/>
      <c r="E622" s="40" t="s">
        <v>291</v>
      </c>
      <c r="F622" s="40"/>
      <c r="G622" s="40" t="s">
        <v>377</v>
      </c>
      <c r="H622" s="40" t="s">
        <v>9</v>
      </c>
      <c r="I622" s="38">
        <v>286.04000000000002</v>
      </c>
      <c r="J622" s="38">
        <v>13786.07</v>
      </c>
    </row>
    <row r="623" spans="2:10" x14ac:dyDescent="0.25">
      <c r="B623" s="40" t="s">
        <v>326</v>
      </c>
      <c r="C623" s="40" t="s">
        <v>359</v>
      </c>
      <c r="D623" s="40"/>
      <c r="E623" s="40" t="s">
        <v>291</v>
      </c>
      <c r="F623" s="40"/>
      <c r="G623" s="40" t="s">
        <v>380</v>
      </c>
      <c r="H623" s="40" t="s">
        <v>9</v>
      </c>
      <c r="I623" s="38">
        <v>171.95</v>
      </c>
      <c r="J623" s="38">
        <v>13958.02</v>
      </c>
    </row>
    <row r="624" spans="2:10" x14ac:dyDescent="0.25">
      <c r="B624" s="40" t="s">
        <v>326</v>
      </c>
      <c r="C624" s="40" t="s">
        <v>359</v>
      </c>
      <c r="D624" s="40"/>
      <c r="E624" s="40" t="s">
        <v>291</v>
      </c>
      <c r="F624" s="40"/>
      <c r="G624" s="40" t="s">
        <v>382</v>
      </c>
      <c r="H624" s="40" t="s">
        <v>9</v>
      </c>
      <c r="I624" s="38">
        <v>899.12</v>
      </c>
      <c r="J624" s="38">
        <v>14857.14</v>
      </c>
    </row>
    <row r="625" spans="2:10" x14ac:dyDescent="0.25">
      <c r="B625" s="40" t="s">
        <v>326</v>
      </c>
      <c r="C625" s="40" t="s">
        <v>359</v>
      </c>
      <c r="D625" s="40"/>
      <c r="E625" s="40" t="s">
        <v>291</v>
      </c>
      <c r="F625" s="40"/>
      <c r="G625" s="40" t="s">
        <v>378</v>
      </c>
      <c r="H625" s="40" t="s">
        <v>9</v>
      </c>
      <c r="I625" s="38">
        <v>87</v>
      </c>
      <c r="J625" s="38">
        <v>14944.14</v>
      </c>
    </row>
    <row r="626" spans="2:10" x14ac:dyDescent="0.25">
      <c r="B626" s="40" t="s">
        <v>326</v>
      </c>
      <c r="C626" s="40" t="s">
        <v>359</v>
      </c>
      <c r="D626" s="40"/>
      <c r="E626" s="40" t="s">
        <v>291</v>
      </c>
      <c r="F626" s="40"/>
      <c r="G626" s="40" t="s">
        <v>379</v>
      </c>
      <c r="H626" s="40" t="s">
        <v>9</v>
      </c>
      <c r="I626" s="38">
        <v>416.3</v>
      </c>
      <c r="J626" s="38">
        <v>15360.44</v>
      </c>
    </row>
    <row r="627" spans="2:10" x14ac:dyDescent="0.25">
      <c r="B627" s="40" t="s">
        <v>326</v>
      </c>
      <c r="C627" s="40" t="s">
        <v>359</v>
      </c>
      <c r="D627" s="40"/>
      <c r="E627" s="40" t="s">
        <v>291</v>
      </c>
      <c r="F627" s="40"/>
      <c r="G627" s="40" t="s">
        <v>383</v>
      </c>
      <c r="H627" s="40" t="s">
        <v>9</v>
      </c>
      <c r="I627" s="38">
        <v>473.13</v>
      </c>
      <c r="J627" s="38">
        <v>15833.57</v>
      </c>
    </row>
    <row r="628" spans="2:10" x14ac:dyDescent="0.25">
      <c r="B628" s="40" t="s">
        <v>376</v>
      </c>
      <c r="C628" s="40" t="s">
        <v>359</v>
      </c>
      <c r="D628" s="40"/>
      <c r="E628" s="40" t="s">
        <v>291</v>
      </c>
      <c r="F628" s="40"/>
      <c r="G628" s="40" t="s">
        <v>456</v>
      </c>
      <c r="H628" s="40" t="s">
        <v>9</v>
      </c>
      <c r="I628" s="38">
        <v>36.9</v>
      </c>
      <c r="J628" s="38">
        <v>15870.47</v>
      </c>
    </row>
    <row r="629" spans="2:10" x14ac:dyDescent="0.25">
      <c r="B629" s="40" t="s">
        <v>376</v>
      </c>
      <c r="C629" s="40" t="s">
        <v>359</v>
      </c>
      <c r="D629" s="40"/>
      <c r="E629" s="40" t="s">
        <v>291</v>
      </c>
      <c r="F629" s="40"/>
      <c r="G629" s="40" t="s">
        <v>375</v>
      </c>
      <c r="H629" s="40" t="s">
        <v>9</v>
      </c>
      <c r="I629" s="38">
        <v>21.95</v>
      </c>
      <c r="J629" s="38">
        <v>15892.42</v>
      </c>
    </row>
    <row r="630" spans="2:10" x14ac:dyDescent="0.25">
      <c r="B630" s="40" t="s">
        <v>322</v>
      </c>
      <c r="C630" s="40" t="s">
        <v>359</v>
      </c>
      <c r="D630" s="40"/>
      <c r="E630" s="40" t="s">
        <v>291</v>
      </c>
      <c r="F630" s="40"/>
      <c r="G630" s="40" t="s">
        <v>597</v>
      </c>
      <c r="H630" s="40" t="s">
        <v>9</v>
      </c>
      <c r="I630" s="38">
        <v>840</v>
      </c>
      <c r="J630" s="38">
        <v>16732.419999999998</v>
      </c>
    </row>
    <row r="631" spans="2:10" x14ac:dyDescent="0.25">
      <c r="B631" s="40" t="s">
        <v>322</v>
      </c>
      <c r="C631" s="40" t="s">
        <v>359</v>
      </c>
      <c r="D631" s="40"/>
      <c r="E631" s="40" t="s">
        <v>291</v>
      </c>
      <c r="F631" s="40"/>
      <c r="G631" s="40" t="s">
        <v>374</v>
      </c>
      <c r="H631" s="40" t="s">
        <v>9</v>
      </c>
      <c r="I631" s="38">
        <v>78</v>
      </c>
      <c r="J631" s="38">
        <v>16810.419999999998</v>
      </c>
    </row>
    <row r="632" spans="2:10" x14ac:dyDescent="0.25">
      <c r="B632" s="40" t="s">
        <v>322</v>
      </c>
      <c r="C632" s="40" t="s">
        <v>359</v>
      </c>
      <c r="D632" s="40"/>
      <c r="E632" s="40" t="s">
        <v>291</v>
      </c>
      <c r="F632" s="40"/>
      <c r="G632" s="40" t="s">
        <v>373</v>
      </c>
      <c r="H632" s="40" t="s">
        <v>9</v>
      </c>
      <c r="I632" s="38">
        <v>255.9</v>
      </c>
      <c r="J632" s="38">
        <v>17066.32</v>
      </c>
    </row>
    <row r="633" spans="2:10" x14ac:dyDescent="0.25">
      <c r="B633" s="40" t="s">
        <v>371</v>
      </c>
      <c r="C633" s="40" t="s">
        <v>359</v>
      </c>
      <c r="D633" s="40"/>
      <c r="E633" s="40" t="s">
        <v>291</v>
      </c>
      <c r="F633" s="40"/>
      <c r="G633" s="40" t="s">
        <v>370</v>
      </c>
      <c r="H633" s="40" t="s">
        <v>9</v>
      </c>
      <c r="I633" s="38">
        <v>69</v>
      </c>
      <c r="J633" s="38">
        <v>17135.32</v>
      </c>
    </row>
    <row r="634" spans="2:10" x14ac:dyDescent="0.25">
      <c r="B634" s="40" t="s">
        <v>371</v>
      </c>
      <c r="C634" s="40" t="s">
        <v>359</v>
      </c>
      <c r="D634" s="40"/>
      <c r="E634" s="40" t="s">
        <v>291</v>
      </c>
      <c r="F634" s="40"/>
      <c r="G634" s="40" t="s">
        <v>372</v>
      </c>
      <c r="H634" s="40" t="s">
        <v>9</v>
      </c>
      <c r="I634" s="38">
        <v>546.39</v>
      </c>
      <c r="J634" s="38">
        <v>17681.71</v>
      </c>
    </row>
    <row r="635" spans="2:10" x14ac:dyDescent="0.25">
      <c r="B635" s="40" t="s">
        <v>368</v>
      </c>
      <c r="C635" s="40" t="s">
        <v>359</v>
      </c>
      <c r="D635" s="40"/>
      <c r="E635" s="40" t="s">
        <v>291</v>
      </c>
      <c r="F635" s="40"/>
      <c r="G635" s="40" t="s">
        <v>367</v>
      </c>
      <c r="H635" s="40" t="s">
        <v>9</v>
      </c>
      <c r="I635" s="38">
        <v>492.65</v>
      </c>
      <c r="J635" s="38">
        <v>18174.36</v>
      </c>
    </row>
    <row r="636" spans="2:10" x14ac:dyDescent="0.25">
      <c r="B636" s="40" t="s">
        <v>362</v>
      </c>
      <c r="C636" s="40" t="s">
        <v>359</v>
      </c>
      <c r="D636" s="40"/>
      <c r="E636" s="40" t="s">
        <v>291</v>
      </c>
      <c r="F636" s="40"/>
      <c r="G636" s="40" t="s">
        <v>363</v>
      </c>
      <c r="H636" s="40" t="s">
        <v>9</v>
      </c>
      <c r="I636" s="38">
        <v>64.94</v>
      </c>
      <c r="J636" s="38">
        <v>18239.3</v>
      </c>
    </row>
    <row r="637" spans="2:10" x14ac:dyDescent="0.25">
      <c r="B637" s="40" t="s">
        <v>362</v>
      </c>
      <c r="C637" s="40" t="s">
        <v>359</v>
      </c>
      <c r="D637" s="40"/>
      <c r="E637" s="40" t="s">
        <v>291</v>
      </c>
      <c r="F637" s="40"/>
      <c r="G637" s="40" t="s">
        <v>361</v>
      </c>
      <c r="H637" s="40" t="s">
        <v>9</v>
      </c>
      <c r="I637" s="38">
        <v>411.88</v>
      </c>
      <c r="J637" s="38">
        <v>18651.18</v>
      </c>
    </row>
    <row r="638" spans="2:10" x14ac:dyDescent="0.25">
      <c r="B638" s="40" t="s">
        <v>362</v>
      </c>
      <c r="C638" s="40" t="s">
        <v>359</v>
      </c>
      <c r="D638" s="40"/>
      <c r="E638" s="40" t="s">
        <v>291</v>
      </c>
      <c r="F638" s="40"/>
      <c r="G638" s="40" t="s">
        <v>364</v>
      </c>
      <c r="H638" s="40" t="s">
        <v>9</v>
      </c>
      <c r="I638" s="38">
        <v>115</v>
      </c>
      <c r="J638" s="38">
        <v>18766.18</v>
      </c>
    </row>
    <row r="639" spans="2:10" x14ac:dyDescent="0.25">
      <c r="B639" s="40" t="s">
        <v>362</v>
      </c>
      <c r="C639" s="40" t="s">
        <v>359</v>
      </c>
      <c r="D639" s="40"/>
      <c r="E639" s="40" t="s">
        <v>291</v>
      </c>
      <c r="F639" s="40"/>
      <c r="G639" s="40" t="s">
        <v>366</v>
      </c>
      <c r="H639" s="40" t="s">
        <v>9</v>
      </c>
      <c r="I639" s="38">
        <v>142.82</v>
      </c>
      <c r="J639" s="38">
        <v>18909</v>
      </c>
    </row>
    <row r="640" spans="2:10" x14ac:dyDescent="0.25">
      <c r="B640" s="40" t="s">
        <v>294</v>
      </c>
      <c r="C640" s="40" t="s">
        <v>359</v>
      </c>
      <c r="D640" s="40"/>
      <c r="E640" s="40" t="s">
        <v>291</v>
      </c>
      <c r="F640" s="40"/>
      <c r="G640" s="40" t="s">
        <v>358</v>
      </c>
      <c r="H640" s="40" t="s">
        <v>9</v>
      </c>
      <c r="I640" s="38">
        <v>849.84</v>
      </c>
      <c r="J640" s="38">
        <v>19758.84</v>
      </c>
    </row>
    <row r="641" spans="1:10" x14ac:dyDescent="0.25">
      <c r="A641" s="24" t="s">
        <v>596</v>
      </c>
      <c r="I641" s="37">
        <v>12489.14</v>
      </c>
    </row>
    <row r="642" spans="1:10" x14ac:dyDescent="0.25">
      <c r="A642" s="24" t="s">
        <v>162</v>
      </c>
    </row>
    <row r="643" spans="1:10" x14ac:dyDescent="0.25">
      <c r="B643" s="40" t="s">
        <v>474</v>
      </c>
      <c r="J643" s="38">
        <v>351.53</v>
      </c>
    </row>
    <row r="644" spans="1:10" x14ac:dyDescent="0.25">
      <c r="B644" s="40" t="s">
        <v>318</v>
      </c>
      <c r="C644" s="40" t="s">
        <v>325</v>
      </c>
      <c r="D644" s="40">
        <v>20260602</v>
      </c>
      <c r="E644" s="40" t="s">
        <v>291</v>
      </c>
      <c r="F644" s="40" t="s">
        <v>540</v>
      </c>
      <c r="G644" s="40" t="s">
        <v>539</v>
      </c>
      <c r="H644" s="40" t="s">
        <v>47</v>
      </c>
      <c r="I644" s="38">
        <v>16.25</v>
      </c>
      <c r="J644" s="38">
        <v>367.78</v>
      </c>
    </row>
    <row r="645" spans="1:10" x14ac:dyDescent="0.25">
      <c r="B645" s="40" t="s">
        <v>318</v>
      </c>
      <c r="C645" s="40" t="s">
        <v>325</v>
      </c>
      <c r="D645" s="40">
        <v>20260602</v>
      </c>
      <c r="E645" s="40" t="s">
        <v>291</v>
      </c>
      <c r="F645" s="40" t="s">
        <v>595</v>
      </c>
      <c r="G645" s="40" t="s">
        <v>594</v>
      </c>
      <c r="H645" s="40" t="s">
        <v>47</v>
      </c>
      <c r="I645" s="38">
        <v>42.25</v>
      </c>
      <c r="J645" s="38">
        <v>410.03</v>
      </c>
    </row>
    <row r="646" spans="1:10" x14ac:dyDescent="0.25">
      <c r="B646" s="40" t="s">
        <v>318</v>
      </c>
      <c r="C646" s="40" t="s">
        <v>325</v>
      </c>
      <c r="D646" s="40">
        <v>20260602</v>
      </c>
      <c r="E646" s="40" t="s">
        <v>291</v>
      </c>
      <c r="F646" s="40" t="s">
        <v>566</v>
      </c>
      <c r="G646" s="40" t="s">
        <v>593</v>
      </c>
      <c r="H646" s="40" t="s">
        <v>47</v>
      </c>
      <c r="I646" s="38">
        <v>22.75</v>
      </c>
      <c r="J646" s="38">
        <v>432.78</v>
      </c>
    </row>
    <row r="647" spans="1:10" x14ac:dyDescent="0.25">
      <c r="B647" s="40" t="s">
        <v>318</v>
      </c>
      <c r="C647" s="40" t="s">
        <v>325</v>
      </c>
      <c r="D647" s="40" t="s">
        <v>592</v>
      </c>
      <c r="E647" s="40" t="s">
        <v>291</v>
      </c>
      <c r="F647" s="40" t="s">
        <v>566</v>
      </c>
      <c r="G647" s="40" t="s">
        <v>583</v>
      </c>
      <c r="H647" s="40" t="s">
        <v>47</v>
      </c>
      <c r="I647" s="38">
        <v>3.25</v>
      </c>
      <c r="J647" s="38">
        <v>436.03</v>
      </c>
    </row>
    <row r="648" spans="1:10" x14ac:dyDescent="0.25">
      <c r="B648" s="40" t="s">
        <v>318</v>
      </c>
      <c r="C648" s="40" t="s">
        <v>325</v>
      </c>
      <c r="D648" s="40" t="s">
        <v>591</v>
      </c>
      <c r="E648" s="40" t="s">
        <v>291</v>
      </c>
      <c r="F648" s="40" t="s">
        <v>566</v>
      </c>
      <c r="G648" s="40" t="s">
        <v>590</v>
      </c>
      <c r="H648" s="40" t="s">
        <v>47</v>
      </c>
      <c r="I648" s="38">
        <v>3.25</v>
      </c>
      <c r="J648" s="38">
        <v>439.28</v>
      </c>
    </row>
    <row r="649" spans="1:10" x14ac:dyDescent="0.25">
      <c r="B649" s="40" t="s">
        <v>318</v>
      </c>
      <c r="C649" s="40" t="s">
        <v>325</v>
      </c>
      <c r="D649" s="40">
        <v>20260602</v>
      </c>
      <c r="E649" s="40" t="s">
        <v>291</v>
      </c>
      <c r="F649" s="40" t="s">
        <v>562</v>
      </c>
      <c r="G649" s="40" t="s">
        <v>589</v>
      </c>
      <c r="H649" s="40" t="s">
        <v>47</v>
      </c>
      <c r="I649" s="38">
        <v>3.22</v>
      </c>
      <c r="J649" s="38">
        <v>442.5</v>
      </c>
    </row>
    <row r="650" spans="1:10" x14ac:dyDescent="0.25">
      <c r="B650" s="40" t="s">
        <v>318</v>
      </c>
      <c r="C650" s="40" t="s">
        <v>325</v>
      </c>
      <c r="D650" s="40">
        <v>20260602</v>
      </c>
      <c r="E650" s="40" t="s">
        <v>291</v>
      </c>
      <c r="F650" s="40" t="s">
        <v>554</v>
      </c>
      <c r="G650" s="40" t="s">
        <v>551</v>
      </c>
      <c r="H650" s="40" t="s">
        <v>47</v>
      </c>
      <c r="I650" s="38">
        <v>7.8</v>
      </c>
      <c r="J650" s="38">
        <v>450.3</v>
      </c>
    </row>
    <row r="651" spans="1:10" x14ac:dyDescent="0.25">
      <c r="B651" s="40" t="s">
        <v>318</v>
      </c>
      <c r="C651" s="40" t="s">
        <v>325</v>
      </c>
      <c r="D651" s="40" t="s">
        <v>588</v>
      </c>
      <c r="E651" s="40" t="s">
        <v>291</v>
      </c>
      <c r="F651" s="40" t="s">
        <v>566</v>
      </c>
      <c r="G651" s="40" t="s">
        <v>587</v>
      </c>
      <c r="H651" s="40" t="s">
        <v>47</v>
      </c>
      <c r="I651" s="38">
        <v>6.5</v>
      </c>
      <c r="J651" s="38">
        <v>456.8</v>
      </c>
    </row>
    <row r="652" spans="1:10" x14ac:dyDescent="0.25">
      <c r="B652" s="40" t="s">
        <v>418</v>
      </c>
      <c r="C652" s="40" t="s">
        <v>325</v>
      </c>
      <c r="D652" s="40">
        <v>20260603</v>
      </c>
      <c r="E652" s="40" t="s">
        <v>291</v>
      </c>
      <c r="F652" s="40" t="s">
        <v>570</v>
      </c>
      <c r="G652" s="40" t="s">
        <v>586</v>
      </c>
      <c r="H652" s="40" t="s">
        <v>47</v>
      </c>
      <c r="I652" s="38">
        <v>9.75</v>
      </c>
      <c r="J652" s="38">
        <v>466.55</v>
      </c>
    </row>
    <row r="653" spans="1:10" x14ac:dyDescent="0.25">
      <c r="B653" s="40" t="s">
        <v>418</v>
      </c>
      <c r="C653" s="40" t="s">
        <v>325</v>
      </c>
      <c r="D653" s="40">
        <v>20260603</v>
      </c>
      <c r="E653" s="40" t="s">
        <v>291</v>
      </c>
      <c r="F653" s="40" t="s">
        <v>544</v>
      </c>
      <c r="G653" s="40" t="s">
        <v>568</v>
      </c>
      <c r="H653" s="40" t="s">
        <v>47</v>
      </c>
      <c r="I653" s="38">
        <v>26</v>
      </c>
      <c r="J653" s="38">
        <v>492.55</v>
      </c>
    </row>
    <row r="654" spans="1:10" x14ac:dyDescent="0.25">
      <c r="B654" s="40" t="s">
        <v>418</v>
      </c>
      <c r="C654" s="40" t="s">
        <v>325</v>
      </c>
      <c r="D654" s="40" t="s">
        <v>574</v>
      </c>
      <c r="E654" s="40" t="s">
        <v>291</v>
      </c>
      <c r="F654" s="40" t="s">
        <v>554</v>
      </c>
      <c r="G654" s="40" t="s">
        <v>585</v>
      </c>
      <c r="H654" s="40" t="s">
        <v>47</v>
      </c>
      <c r="I654" s="38">
        <v>5.2</v>
      </c>
      <c r="J654" s="38">
        <v>497.75</v>
      </c>
    </row>
    <row r="655" spans="1:10" x14ac:dyDescent="0.25">
      <c r="B655" s="40" t="s">
        <v>418</v>
      </c>
      <c r="C655" s="40" t="s">
        <v>325</v>
      </c>
      <c r="D655" s="40" t="s">
        <v>574</v>
      </c>
      <c r="E655" s="40" t="s">
        <v>291</v>
      </c>
      <c r="F655" s="40" t="s">
        <v>554</v>
      </c>
      <c r="G655" s="40"/>
      <c r="H655" s="40" t="s">
        <v>47</v>
      </c>
      <c r="I655" s="38">
        <v>13</v>
      </c>
      <c r="J655" s="38">
        <v>510.75</v>
      </c>
    </row>
    <row r="656" spans="1:10" x14ac:dyDescent="0.25">
      <c r="B656" s="40" t="s">
        <v>418</v>
      </c>
      <c r="C656" s="40" t="s">
        <v>325</v>
      </c>
      <c r="D656" s="40">
        <v>20260603</v>
      </c>
      <c r="E656" s="40" t="s">
        <v>291</v>
      </c>
      <c r="F656" s="40" t="s">
        <v>540</v>
      </c>
      <c r="G656" s="40" t="s">
        <v>584</v>
      </c>
      <c r="H656" s="40" t="s">
        <v>47</v>
      </c>
      <c r="I656" s="38">
        <v>113.75</v>
      </c>
      <c r="J656" s="38">
        <v>624.5</v>
      </c>
    </row>
    <row r="657" spans="2:10" x14ac:dyDescent="0.25">
      <c r="B657" s="40" t="s">
        <v>418</v>
      </c>
      <c r="C657" s="40" t="s">
        <v>325</v>
      </c>
      <c r="D657" s="40">
        <v>20260603</v>
      </c>
      <c r="E657" s="40" t="s">
        <v>291</v>
      </c>
      <c r="F657" s="40" t="s">
        <v>543</v>
      </c>
      <c r="G657" s="40" t="s">
        <v>583</v>
      </c>
      <c r="H657" s="40" t="s">
        <v>47</v>
      </c>
      <c r="I657" s="38">
        <v>3.25</v>
      </c>
      <c r="J657" s="38">
        <v>627.75</v>
      </c>
    </row>
    <row r="658" spans="2:10" x14ac:dyDescent="0.25">
      <c r="B658" s="40" t="s">
        <v>418</v>
      </c>
      <c r="C658" s="40" t="s">
        <v>325</v>
      </c>
      <c r="D658" s="40">
        <v>20260603</v>
      </c>
      <c r="E658" s="40" t="s">
        <v>291</v>
      </c>
      <c r="F658" s="40" t="s">
        <v>558</v>
      </c>
      <c r="G658" s="40" t="s">
        <v>559</v>
      </c>
      <c r="H658" s="40" t="s">
        <v>47</v>
      </c>
      <c r="I658" s="38">
        <v>94.25</v>
      </c>
      <c r="J658" s="38">
        <v>722</v>
      </c>
    </row>
    <row r="659" spans="2:10" x14ac:dyDescent="0.25">
      <c r="B659" s="40" t="s">
        <v>418</v>
      </c>
      <c r="C659" s="40" t="s">
        <v>325</v>
      </c>
      <c r="D659" s="40">
        <v>20260603</v>
      </c>
      <c r="E659" s="40" t="s">
        <v>291</v>
      </c>
      <c r="F659" s="40" t="s">
        <v>537</v>
      </c>
      <c r="G659" s="40" t="s">
        <v>583</v>
      </c>
      <c r="H659" s="40" t="s">
        <v>47</v>
      </c>
      <c r="I659" s="38">
        <v>3.25</v>
      </c>
      <c r="J659" s="38">
        <v>725.25</v>
      </c>
    </row>
    <row r="660" spans="2:10" x14ac:dyDescent="0.25">
      <c r="B660" s="40" t="s">
        <v>418</v>
      </c>
      <c r="C660" s="40" t="s">
        <v>325</v>
      </c>
      <c r="D660" s="40" t="s">
        <v>574</v>
      </c>
      <c r="E660" s="40" t="s">
        <v>291</v>
      </c>
      <c r="F660" s="40" t="s">
        <v>557</v>
      </c>
      <c r="G660" s="40" t="s">
        <v>582</v>
      </c>
      <c r="H660" s="40" t="s">
        <v>47</v>
      </c>
      <c r="I660" s="38">
        <v>35.75</v>
      </c>
      <c r="J660" s="38">
        <v>761</v>
      </c>
    </row>
    <row r="661" spans="2:10" x14ac:dyDescent="0.25">
      <c r="B661" s="40" t="s">
        <v>418</v>
      </c>
      <c r="C661" s="40" t="s">
        <v>325</v>
      </c>
      <c r="D661" s="40">
        <v>20260603</v>
      </c>
      <c r="E661" s="40" t="s">
        <v>291</v>
      </c>
      <c r="F661" s="40" t="s">
        <v>537</v>
      </c>
      <c r="G661" s="40"/>
      <c r="H661" s="40" t="s">
        <v>47</v>
      </c>
      <c r="I661" s="38">
        <v>6.5</v>
      </c>
      <c r="J661" s="38">
        <v>767.5</v>
      </c>
    </row>
    <row r="662" spans="2:10" x14ac:dyDescent="0.25">
      <c r="B662" s="40" t="s">
        <v>418</v>
      </c>
      <c r="C662" s="40" t="s">
        <v>325</v>
      </c>
      <c r="D662" s="40" t="s">
        <v>573</v>
      </c>
      <c r="E662" s="40" t="s">
        <v>291</v>
      </c>
      <c r="F662" s="40" t="s">
        <v>564</v>
      </c>
      <c r="G662" s="40" t="s">
        <v>581</v>
      </c>
      <c r="H662" s="40" t="s">
        <v>47</v>
      </c>
      <c r="I662" s="38">
        <v>25.97</v>
      </c>
      <c r="J662" s="38">
        <v>793.47</v>
      </c>
    </row>
    <row r="663" spans="2:10" x14ac:dyDescent="0.25">
      <c r="B663" s="40" t="s">
        <v>418</v>
      </c>
      <c r="C663" s="40" t="s">
        <v>325</v>
      </c>
      <c r="D663" s="40" t="s">
        <v>576</v>
      </c>
      <c r="E663" s="40" t="s">
        <v>291</v>
      </c>
      <c r="F663" s="40" t="s">
        <v>566</v>
      </c>
      <c r="G663" s="40" t="s">
        <v>580</v>
      </c>
      <c r="H663" s="40" t="s">
        <v>47</v>
      </c>
      <c r="I663" s="38">
        <v>9.75</v>
      </c>
      <c r="J663" s="38">
        <v>803.22</v>
      </c>
    </row>
    <row r="664" spans="2:10" x14ac:dyDescent="0.25">
      <c r="B664" s="40" t="s">
        <v>418</v>
      </c>
      <c r="C664" s="40" t="s">
        <v>325</v>
      </c>
      <c r="D664" s="40">
        <v>20260603</v>
      </c>
      <c r="E664" s="40" t="s">
        <v>291</v>
      </c>
      <c r="F664" s="40" t="s">
        <v>542</v>
      </c>
      <c r="G664" s="40" t="s">
        <v>579</v>
      </c>
      <c r="H664" s="40" t="s">
        <v>47</v>
      </c>
      <c r="I664" s="38">
        <v>71.5</v>
      </c>
      <c r="J664" s="38">
        <v>874.72</v>
      </c>
    </row>
    <row r="665" spans="2:10" x14ac:dyDescent="0.25">
      <c r="B665" s="40" t="s">
        <v>418</v>
      </c>
      <c r="C665" s="40" t="s">
        <v>325</v>
      </c>
      <c r="D665" s="40" t="s">
        <v>576</v>
      </c>
      <c r="E665" s="40" t="s">
        <v>291</v>
      </c>
      <c r="F665" s="40" t="s">
        <v>566</v>
      </c>
      <c r="G665" s="40" t="s">
        <v>578</v>
      </c>
      <c r="H665" s="40" t="s">
        <v>47</v>
      </c>
      <c r="I665" s="38">
        <v>9.75</v>
      </c>
      <c r="J665" s="38">
        <v>884.47</v>
      </c>
    </row>
    <row r="666" spans="2:10" x14ac:dyDescent="0.25">
      <c r="B666" s="40" t="s">
        <v>418</v>
      </c>
      <c r="C666" s="40" t="s">
        <v>325</v>
      </c>
      <c r="D666" s="40" t="s">
        <v>573</v>
      </c>
      <c r="E666" s="40" t="s">
        <v>291</v>
      </c>
      <c r="F666" s="40" t="s">
        <v>564</v>
      </c>
      <c r="G666" s="40" t="s">
        <v>577</v>
      </c>
      <c r="H666" s="40" t="s">
        <v>47</v>
      </c>
      <c r="I666" s="38">
        <v>40.950000000000003</v>
      </c>
      <c r="J666" s="38">
        <v>925.42</v>
      </c>
    </row>
    <row r="667" spans="2:10" x14ac:dyDescent="0.25">
      <c r="B667" s="40" t="s">
        <v>418</v>
      </c>
      <c r="C667" s="40" t="s">
        <v>325</v>
      </c>
      <c r="D667" s="40" t="s">
        <v>576</v>
      </c>
      <c r="E667" s="40" t="s">
        <v>291</v>
      </c>
      <c r="F667" s="40" t="s">
        <v>566</v>
      </c>
      <c r="G667" s="40" t="s">
        <v>575</v>
      </c>
      <c r="H667" s="40" t="s">
        <v>47</v>
      </c>
      <c r="I667" s="38">
        <v>3.9</v>
      </c>
      <c r="J667" s="38">
        <v>929.32</v>
      </c>
    </row>
    <row r="668" spans="2:10" x14ac:dyDescent="0.25">
      <c r="B668" s="40" t="s">
        <v>418</v>
      </c>
      <c r="C668" s="40" t="s">
        <v>325</v>
      </c>
      <c r="D668" s="40" t="s">
        <v>574</v>
      </c>
      <c r="E668" s="40" t="s">
        <v>291</v>
      </c>
      <c r="F668" s="40" t="s">
        <v>557</v>
      </c>
      <c r="G668" s="40"/>
      <c r="H668" s="40" t="s">
        <v>47</v>
      </c>
      <c r="I668" s="38">
        <v>52</v>
      </c>
      <c r="J668" s="38">
        <v>981.32</v>
      </c>
    </row>
    <row r="669" spans="2:10" x14ac:dyDescent="0.25">
      <c r="B669" s="40" t="s">
        <v>418</v>
      </c>
      <c r="C669" s="40" t="s">
        <v>325</v>
      </c>
      <c r="D669" s="40" t="s">
        <v>573</v>
      </c>
      <c r="E669" s="40" t="s">
        <v>291</v>
      </c>
      <c r="F669" s="40" t="s">
        <v>564</v>
      </c>
      <c r="G669" s="40" t="s">
        <v>572</v>
      </c>
      <c r="H669" s="40" t="s">
        <v>47</v>
      </c>
      <c r="I669" s="38">
        <v>32.47</v>
      </c>
      <c r="J669" s="38">
        <v>1013.79</v>
      </c>
    </row>
    <row r="670" spans="2:10" x14ac:dyDescent="0.25">
      <c r="B670" s="40" t="s">
        <v>351</v>
      </c>
      <c r="C670" s="40" t="s">
        <v>325</v>
      </c>
      <c r="D670" s="40">
        <v>260608</v>
      </c>
      <c r="E670" s="40" t="s">
        <v>291</v>
      </c>
      <c r="F670" s="40" t="s">
        <v>548</v>
      </c>
      <c r="G670" s="40" t="s">
        <v>571</v>
      </c>
      <c r="H670" s="40" t="s">
        <v>47</v>
      </c>
      <c r="I670" s="38">
        <v>130</v>
      </c>
      <c r="J670" s="38">
        <v>1143.79</v>
      </c>
    </row>
    <row r="671" spans="2:10" x14ac:dyDescent="0.25">
      <c r="B671" s="40" t="s">
        <v>350</v>
      </c>
      <c r="C671" s="40" t="s">
        <v>325</v>
      </c>
      <c r="D671" s="40">
        <v>20260610</v>
      </c>
      <c r="E671" s="40" t="s">
        <v>291</v>
      </c>
      <c r="F671" s="40" t="s">
        <v>566</v>
      </c>
      <c r="G671" s="40" t="s">
        <v>541</v>
      </c>
      <c r="H671" s="40" t="s">
        <v>47</v>
      </c>
      <c r="I671" s="38">
        <v>9.75</v>
      </c>
      <c r="J671" s="38">
        <v>1153.54</v>
      </c>
    </row>
    <row r="672" spans="2:10" x14ac:dyDescent="0.25">
      <c r="B672" s="40" t="s">
        <v>345</v>
      </c>
      <c r="C672" s="40" t="s">
        <v>325</v>
      </c>
      <c r="D672" s="40">
        <v>20260612</v>
      </c>
      <c r="E672" s="40" t="s">
        <v>291</v>
      </c>
      <c r="F672" s="40" t="s">
        <v>564</v>
      </c>
      <c r="G672" s="40" t="s">
        <v>541</v>
      </c>
      <c r="H672" s="40" t="s">
        <v>47</v>
      </c>
      <c r="I672" s="38">
        <v>9.1</v>
      </c>
      <c r="J672" s="38">
        <v>1162.6400000000001</v>
      </c>
    </row>
    <row r="673" spans="2:10" x14ac:dyDescent="0.25">
      <c r="B673" s="40" t="s">
        <v>345</v>
      </c>
      <c r="C673" s="40" t="s">
        <v>325</v>
      </c>
      <c r="D673" s="40">
        <v>20260612</v>
      </c>
      <c r="E673" s="40" t="s">
        <v>291</v>
      </c>
      <c r="F673" s="40" t="s">
        <v>570</v>
      </c>
      <c r="G673" s="40" t="s">
        <v>569</v>
      </c>
      <c r="H673" s="40" t="s">
        <v>47</v>
      </c>
      <c r="I673" s="38">
        <v>19.5</v>
      </c>
      <c r="J673" s="38">
        <v>1182.1400000000001</v>
      </c>
    </row>
    <row r="674" spans="2:10" x14ac:dyDescent="0.25">
      <c r="B674" s="40" t="s">
        <v>345</v>
      </c>
      <c r="C674" s="40" t="s">
        <v>325</v>
      </c>
      <c r="D674" s="40">
        <v>20260612</v>
      </c>
      <c r="E674" s="40" t="s">
        <v>291</v>
      </c>
      <c r="F674" s="40" t="s">
        <v>544</v>
      </c>
      <c r="G674" s="40" t="s">
        <v>568</v>
      </c>
      <c r="H674" s="40" t="s">
        <v>47</v>
      </c>
      <c r="I674" s="38">
        <v>26</v>
      </c>
      <c r="J674" s="38">
        <v>1208.1400000000001</v>
      </c>
    </row>
    <row r="675" spans="2:10" x14ac:dyDescent="0.25">
      <c r="B675" s="40" t="s">
        <v>345</v>
      </c>
      <c r="C675" s="40" t="s">
        <v>325</v>
      </c>
      <c r="D675" s="40">
        <v>20260612</v>
      </c>
      <c r="E675" s="40" t="s">
        <v>291</v>
      </c>
      <c r="F675" s="40" t="s">
        <v>566</v>
      </c>
      <c r="G675" s="40"/>
      <c r="H675" s="40" t="s">
        <v>47</v>
      </c>
      <c r="I675" s="38">
        <v>6.5</v>
      </c>
      <c r="J675" s="38">
        <v>1214.6400000000001</v>
      </c>
    </row>
    <row r="676" spans="2:10" x14ac:dyDescent="0.25">
      <c r="B676" s="40" t="s">
        <v>345</v>
      </c>
      <c r="C676" s="40" t="s">
        <v>325</v>
      </c>
      <c r="D676" s="40">
        <v>20260612</v>
      </c>
      <c r="E676" s="40" t="s">
        <v>291</v>
      </c>
      <c r="F676" s="40" t="s">
        <v>566</v>
      </c>
      <c r="G676" s="40"/>
      <c r="H676" s="40" t="s">
        <v>47</v>
      </c>
      <c r="I676" s="38">
        <v>9.75</v>
      </c>
      <c r="J676" s="38">
        <v>1224.3900000000001</v>
      </c>
    </row>
    <row r="677" spans="2:10" x14ac:dyDescent="0.25">
      <c r="B677" s="40" t="s">
        <v>345</v>
      </c>
      <c r="C677" s="40" t="s">
        <v>325</v>
      </c>
      <c r="D677" s="40">
        <v>20260612</v>
      </c>
      <c r="E677" s="40" t="s">
        <v>291</v>
      </c>
      <c r="F677" s="40" t="s">
        <v>566</v>
      </c>
      <c r="G677" s="40"/>
      <c r="H677" s="40" t="s">
        <v>47</v>
      </c>
      <c r="I677" s="38">
        <v>19.5</v>
      </c>
      <c r="J677" s="38">
        <v>1243.8900000000001</v>
      </c>
    </row>
    <row r="678" spans="2:10" x14ac:dyDescent="0.25">
      <c r="B678" s="40" t="s">
        <v>345</v>
      </c>
      <c r="C678" s="40" t="s">
        <v>325</v>
      </c>
      <c r="D678" s="40">
        <v>20260612</v>
      </c>
      <c r="E678" s="40" t="s">
        <v>291</v>
      </c>
      <c r="F678" s="40" t="s">
        <v>566</v>
      </c>
      <c r="G678" s="40" t="s">
        <v>567</v>
      </c>
      <c r="H678" s="40" t="s">
        <v>47</v>
      </c>
      <c r="I678" s="38">
        <v>13</v>
      </c>
      <c r="J678" s="38">
        <v>1256.8900000000001</v>
      </c>
    </row>
    <row r="679" spans="2:10" x14ac:dyDescent="0.25">
      <c r="B679" s="40" t="s">
        <v>345</v>
      </c>
      <c r="C679" s="40" t="s">
        <v>325</v>
      </c>
      <c r="D679" s="40">
        <v>20260612</v>
      </c>
      <c r="E679" s="40" t="s">
        <v>291</v>
      </c>
      <c r="F679" s="40" t="s">
        <v>566</v>
      </c>
      <c r="G679" s="40"/>
      <c r="H679" s="40" t="s">
        <v>47</v>
      </c>
      <c r="I679" s="38">
        <v>16.25</v>
      </c>
      <c r="J679" s="38">
        <v>1273.1400000000001</v>
      </c>
    </row>
    <row r="680" spans="2:10" x14ac:dyDescent="0.25">
      <c r="B680" s="40" t="s">
        <v>477</v>
      </c>
      <c r="C680" s="40" t="s">
        <v>325</v>
      </c>
      <c r="D680" s="40">
        <v>20260614</v>
      </c>
      <c r="E680" s="40" t="s">
        <v>291</v>
      </c>
      <c r="F680" s="40" t="s">
        <v>566</v>
      </c>
      <c r="G680" s="40" t="s">
        <v>541</v>
      </c>
      <c r="H680" s="40" t="s">
        <v>47</v>
      </c>
      <c r="I680" s="38">
        <v>9.75</v>
      </c>
      <c r="J680" s="38">
        <v>1282.8900000000001</v>
      </c>
    </row>
    <row r="681" spans="2:10" x14ac:dyDescent="0.25">
      <c r="B681" s="40" t="s">
        <v>343</v>
      </c>
      <c r="C681" s="40" t="s">
        <v>325</v>
      </c>
      <c r="D681" s="40">
        <v>20260616</v>
      </c>
      <c r="E681" s="40" t="s">
        <v>291</v>
      </c>
      <c r="F681" s="40" t="s">
        <v>540</v>
      </c>
      <c r="G681" s="40" t="s">
        <v>565</v>
      </c>
      <c r="H681" s="40" t="s">
        <v>47</v>
      </c>
      <c r="I681" s="38">
        <v>45.5</v>
      </c>
      <c r="J681" s="38">
        <v>1328.39</v>
      </c>
    </row>
    <row r="682" spans="2:10" x14ac:dyDescent="0.25">
      <c r="B682" s="40" t="s">
        <v>343</v>
      </c>
      <c r="C682" s="40" t="s">
        <v>325</v>
      </c>
      <c r="D682" s="40">
        <v>20260616</v>
      </c>
      <c r="E682" s="40" t="s">
        <v>291</v>
      </c>
      <c r="F682" s="40" t="s">
        <v>564</v>
      </c>
      <c r="G682" s="40"/>
      <c r="H682" s="40" t="s">
        <v>47</v>
      </c>
      <c r="I682" s="38">
        <v>22.1</v>
      </c>
      <c r="J682" s="38">
        <v>1350.49</v>
      </c>
    </row>
    <row r="683" spans="2:10" x14ac:dyDescent="0.25">
      <c r="B683" s="40" t="s">
        <v>343</v>
      </c>
      <c r="C683" s="40" t="s">
        <v>325</v>
      </c>
      <c r="D683" s="40">
        <v>20260616</v>
      </c>
      <c r="E683" s="40" t="s">
        <v>291</v>
      </c>
      <c r="F683" s="40" t="s">
        <v>564</v>
      </c>
      <c r="G683" s="40"/>
      <c r="H683" s="40" t="s">
        <v>47</v>
      </c>
      <c r="I683" s="38">
        <v>32.47</v>
      </c>
      <c r="J683" s="38">
        <v>1382.96</v>
      </c>
    </row>
    <row r="684" spans="2:10" x14ac:dyDescent="0.25">
      <c r="B684" s="40" t="s">
        <v>343</v>
      </c>
      <c r="C684" s="40" t="s">
        <v>325</v>
      </c>
      <c r="D684" s="40">
        <v>20260616</v>
      </c>
      <c r="E684" s="40" t="s">
        <v>291</v>
      </c>
      <c r="F684" s="40" t="s">
        <v>564</v>
      </c>
      <c r="G684" s="40"/>
      <c r="H684" s="40" t="s">
        <v>47</v>
      </c>
      <c r="I684" s="38">
        <v>39</v>
      </c>
      <c r="J684" s="38">
        <v>1421.96</v>
      </c>
    </row>
    <row r="685" spans="2:10" x14ac:dyDescent="0.25">
      <c r="B685" s="40" t="s">
        <v>343</v>
      </c>
      <c r="C685" s="40" t="s">
        <v>325</v>
      </c>
      <c r="D685" s="40">
        <v>20260616</v>
      </c>
      <c r="E685" s="40" t="s">
        <v>291</v>
      </c>
      <c r="F685" s="40" t="s">
        <v>564</v>
      </c>
      <c r="G685" s="40" t="s">
        <v>563</v>
      </c>
      <c r="H685" s="40" t="s">
        <v>47</v>
      </c>
      <c r="I685" s="38">
        <v>41.6</v>
      </c>
      <c r="J685" s="38">
        <v>1463.56</v>
      </c>
    </row>
    <row r="686" spans="2:10" x14ac:dyDescent="0.25">
      <c r="B686" s="40" t="s">
        <v>343</v>
      </c>
      <c r="C686" s="40" t="s">
        <v>325</v>
      </c>
      <c r="D686" s="40">
        <v>20260616</v>
      </c>
      <c r="E686" s="40" t="s">
        <v>291</v>
      </c>
      <c r="F686" s="40" t="s">
        <v>562</v>
      </c>
      <c r="G686" s="40" t="s">
        <v>561</v>
      </c>
      <c r="H686" s="40" t="s">
        <v>47</v>
      </c>
      <c r="I686" s="38">
        <v>6.44</v>
      </c>
      <c r="J686" s="38">
        <v>1470</v>
      </c>
    </row>
    <row r="687" spans="2:10" x14ac:dyDescent="0.25">
      <c r="B687" s="40" t="s">
        <v>343</v>
      </c>
      <c r="C687" s="40" t="s">
        <v>325</v>
      </c>
      <c r="D687" s="40">
        <v>20260616</v>
      </c>
      <c r="E687" s="40" t="s">
        <v>291</v>
      </c>
      <c r="F687" s="40" t="s">
        <v>560</v>
      </c>
      <c r="G687" s="40" t="s">
        <v>559</v>
      </c>
      <c r="H687" s="40" t="s">
        <v>47</v>
      </c>
      <c r="I687" s="38">
        <v>94.25</v>
      </c>
      <c r="J687" s="38">
        <v>1564.25</v>
      </c>
    </row>
    <row r="688" spans="2:10" x14ac:dyDescent="0.25">
      <c r="B688" s="40" t="s">
        <v>343</v>
      </c>
      <c r="C688" s="40" t="s">
        <v>325</v>
      </c>
      <c r="D688" s="40">
        <v>20260616</v>
      </c>
      <c r="E688" s="40" t="s">
        <v>291</v>
      </c>
      <c r="F688" s="40" t="s">
        <v>558</v>
      </c>
      <c r="G688" s="40" t="s">
        <v>545</v>
      </c>
      <c r="H688" s="40" t="s">
        <v>47</v>
      </c>
      <c r="I688" s="38">
        <v>32.5</v>
      </c>
      <c r="J688" s="38">
        <v>1596.75</v>
      </c>
    </row>
    <row r="689" spans="2:10" x14ac:dyDescent="0.25">
      <c r="B689" s="40" t="s">
        <v>343</v>
      </c>
      <c r="C689" s="40" t="s">
        <v>325</v>
      </c>
      <c r="D689" s="40">
        <v>20260616</v>
      </c>
      <c r="E689" s="40" t="s">
        <v>291</v>
      </c>
      <c r="F689" s="40" t="s">
        <v>557</v>
      </c>
      <c r="G689" s="40" t="s">
        <v>556</v>
      </c>
      <c r="H689" s="40" t="s">
        <v>47</v>
      </c>
      <c r="I689" s="38">
        <v>52</v>
      </c>
      <c r="J689" s="38">
        <v>1648.75</v>
      </c>
    </row>
    <row r="690" spans="2:10" x14ac:dyDescent="0.25">
      <c r="B690" s="40" t="s">
        <v>343</v>
      </c>
      <c r="C690" s="40" t="s">
        <v>325</v>
      </c>
      <c r="D690" s="40">
        <v>20260616</v>
      </c>
      <c r="E690" s="40" t="s">
        <v>291</v>
      </c>
      <c r="F690" s="40" t="s">
        <v>544</v>
      </c>
      <c r="G690" s="40" t="s">
        <v>555</v>
      </c>
      <c r="H690" s="40" t="s">
        <v>47</v>
      </c>
      <c r="I690" s="38">
        <v>39</v>
      </c>
      <c r="J690" s="38">
        <v>1687.75</v>
      </c>
    </row>
    <row r="691" spans="2:10" x14ac:dyDescent="0.25">
      <c r="B691" s="40" t="s">
        <v>343</v>
      </c>
      <c r="C691" s="40" t="s">
        <v>325</v>
      </c>
      <c r="D691" s="40">
        <v>20260616</v>
      </c>
      <c r="E691" s="40" t="s">
        <v>291</v>
      </c>
      <c r="F691" s="40" t="s">
        <v>554</v>
      </c>
      <c r="G691" s="40" t="s">
        <v>541</v>
      </c>
      <c r="H691" s="40" t="s">
        <v>47</v>
      </c>
      <c r="I691" s="38">
        <v>13</v>
      </c>
      <c r="J691" s="38">
        <v>1700.75</v>
      </c>
    </row>
    <row r="692" spans="2:10" x14ac:dyDescent="0.25">
      <c r="B692" s="40" t="s">
        <v>343</v>
      </c>
      <c r="C692" s="40" t="s">
        <v>325</v>
      </c>
      <c r="D692" s="40">
        <v>20260616</v>
      </c>
      <c r="E692" s="40" t="s">
        <v>291</v>
      </c>
      <c r="F692" s="40" t="s">
        <v>542</v>
      </c>
      <c r="G692" s="40" t="s">
        <v>541</v>
      </c>
      <c r="H692" s="40" t="s">
        <v>47</v>
      </c>
      <c r="I692" s="38">
        <v>94.25</v>
      </c>
      <c r="J692" s="38">
        <v>1795</v>
      </c>
    </row>
    <row r="693" spans="2:10" x14ac:dyDescent="0.25">
      <c r="B693" s="40" t="s">
        <v>343</v>
      </c>
      <c r="C693" s="40" t="s">
        <v>325</v>
      </c>
      <c r="D693" s="40">
        <v>20260616</v>
      </c>
      <c r="E693" s="40" t="s">
        <v>291</v>
      </c>
      <c r="F693" s="40" t="s">
        <v>543</v>
      </c>
      <c r="G693" s="40" t="s">
        <v>553</v>
      </c>
      <c r="H693" s="40" t="s">
        <v>47</v>
      </c>
      <c r="I693" s="38">
        <v>5.17</v>
      </c>
      <c r="J693" s="38">
        <v>1800.17</v>
      </c>
    </row>
    <row r="694" spans="2:10" x14ac:dyDescent="0.25">
      <c r="B694" s="40" t="s">
        <v>343</v>
      </c>
      <c r="C694" s="40" t="s">
        <v>325</v>
      </c>
      <c r="D694" s="40">
        <v>20260616</v>
      </c>
      <c r="E694" s="40" t="s">
        <v>291</v>
      </c>
      <c r="F694" s="40" t="s">
        <v>540</v>
      </c>
      <c r="G694" s="40"/>
      <c r="H694" s="40" t="s">
        <v>47</v>
      </c>
      <c r="I694" s="38">
        <v>117</v>
      </c>
      <c r="J694" s="38">
        <v>1917.17</v>
      </c>
    </row>
    <row r="695" spans="2:10" x14ac:dyDescent="0.25">
      <c r="B695" s="40" t="s">
        <v>343</v>
      </c>
      <c r="C695" s="40" t="s">
        <v>325</v>
      </c>
      <c r="D695" s="40">
        <v>20260616</v>
      </c>
      <c r="E695" s="40" t="s">
        <v>291</v>
      </c>
      <c r="F695" s="40" t="s">
        <v>540</v>
      </c>
      <c r="G695" s="40"/>
      <c r="H695" s="40" t="s">
        <v>47</v>
      </c>
      <c r="I695" s="38">
        <v>32.5</v>
      </c>
      <c r="J695" s="38">
        <v>1949.67</v>
      </c>
    </row>
    <row r="696" spans="2:10" x14ac:dyDescent="0.25">
      <c r="B696" s="40" t="s">
        <v>343</v>
      </c>
      <c r="C696" s="40" t="s">
        <v>325</v>
      </c>
      <c r="D696" s="40">
        <v>20260616</v>
      </c>
      <c r="E696" s="40" t="s">
        <v>291</v>
      </c>
      <c r="F696" s="40" t="s">
        <v>552</v>
      </c>
      <c r="G696" s="40" t="s">
        <v>551</v>
      </c>
      <c r="H696" s="40" t="s">
        <v>47</v>
      </c>
      <c r="I696" s="38">
        <v>7.8</v>
      </c>
      <c r="J696" s="38">
        <v>1957.47</v>
      </c>
    </row>
    <row r="697" spans="2:10" x14ac:dyDescent="0.25">
      <c r="B697" s="40" t="s">
        <v>343</v>
      </c>
      <c r="C697" s="40" t="s">
        <v>325</v>
      </c>
      <c r="D697" s="40">
        <v>2026061601</v>
      </c>
      <c r="E697" s="40" t="s">
        <v>291</v>
      </c>
      <c r="F697" s="40" t="s">
        <v>552</v>
      </c>
      <c r="G697" s="40" t="s">
        <v>551</v>
      </c>
      <c r="H697" s="40" t="s">
        <v>47</v>
      </c>
      <c r="I697" s="38">
        <v>7.8</v>
      </c>
      <c r="J697" s="38">
        <v>1965.27</v>
      </c>
    </row>
    <row r="698" spans="2:10" x14ac:dyDescent="0.25">
      <c r="B698" s="40" t="s">
        <v>337</v>
      </c>
      <c r="C698" s="40" t="s">
        <v>325</v>
      </c>
      <c r="D698" s="40">
        <v>20260618</v>
      </c>
      <c r="E698" s="40" t="s">
        <v>291</v>
      </c>
      <c r="F698" s="40" t="s">
        <v>550</v>
      </c>
      <c r="G698" s="40" t="s">
        <v>549</v>
      </c>
      <c r="H698" s="40" t="s">
        <v>47</v>
      </c>
      <c r="I698" s="38">
        <v>9.65</v>
      </c>
      <c r="J698" s="38">
        <v>1974.92</v>
      </c>
    </row>
    <row r="699" spans="2:10" x14ac:dyDescent="0.25">
      <c r="B699" s="40" t="s">
        <v>337</v>
      </c>
      <c r="C699" s="40" t="s">
        <v>325</v>
      </c>
      <c r="D699" s="40">
        <v>20260618</v>
      </c>
      <c r="E699" s="40" t="s">
        <v>291</v>
      </c>
      <c r="F699" s="40" t="s">
        <v>546</v>
      </c>
      <c r="G699" s="40" t="s">
        <v>539</v>
      </c>
      <c r="H699" s="40" t="s">
        <v>47</v>
      </c>
      <c r="I699" s="38">
        <v>18.649999999999999</v>
      </c>
      <c r="J699" s="38">
        <v>1993.57</v>
      </c>
    </row>
    <row r="700" spans="2:10" x14ac:dyDescent="0.25">
      <c r="B700" s="40" t="s">
        <v>322</v>
      </c>
      <c r="C700" s="40" t="s">
        <v>325</v>
      </c>
      <c r="D700" s="40">
        <v>20260624</v>
      </c>
      <c r="E700" s="40" t="s">
        <v>291</v>
      </c>
      <c r="F700" s="40" t="s">
        <v>540</v>
      </c>
      <c r="G700" s="40" t="s">
        <v>541</v>
      </c>
      <c r="H700" s="40" t="s">
        <v>47</v>
      </c>
      <c r="I700" s="38">
        <v>16.25</v>
      </c>
      <c r="J700" s="38">
        <v>2009.82</v>
      </c>
    </row>
    <row r="701" spans="2:10" x14ac:dyDescent="0.25">
      <c r="B701" s="40" t="s">
        <v>371</v>
      </c>
      <c r="C701" s="40" t="s">
        <v>325</v>
      </c>
      <c r="D701" s="40">
        <v>20260625</v>
      </c>
      <c r="E701" s="40" t="s">
        <v>291</v>
      </c>
      <c r="F701" s="40" t="s">
        <v>548</v>
      </c>
      <c r="G701" s="40" t="s">
        <v>547</v>
      </c>
      <c r="H701" s="40" t="s">
        <v>47</v>
      </c>
      <c r="I701" s="38">
        <v>65</v>
      </c>
      <c r="J701" s="38">
        <v>2074.8200000000002</v>
      </c>
    </row>
    <row r="702" spans="2:10" x14ac:dyDescent="0.25">
      <c r="B702" s="40" t="s">
        <v>371</v>
      </c>
      <c r="C702" s="40" t="s">
        <v>325</v>
      </c>
      <c r="D702" s="40">
        <v>20260625</v>
      </c>
      <c r="E702" s="40" t="s">
        <v>291</v>
      </c>
      <c r="F702" s="40" t="s">
        <v>546</v>
      </c>
      <c r="G702" s="40" t="s">
        <v>545</v>
      </c>
      <c r="H702" s="40" t="s">
        <v>47</v>
      </c>
      <c r="I702" s="38">
        <v>32.5</v>
      </c>
      <c r="J702" s="38">
        <v>2107.3200000000002</v>
      </c>
    </row>
    <row r="703" spans="2:10" x14ac:dyDescent="0.25">
      <c r="B703" s="40" t="s">
        <v>371</v>
      </c>
      <c r="C703" s="40" t="s">
        <v>325</v>
      </c>
      <c r="D703" s="40">
        <v>20260625</v>
      </c>
      <c r="E703" s="40" t="s">
        <v>291</v>
      </c>
      <c r="F703" s="40" t="s">
        <v>544</v>
      </c>
      <c r="G703" s="40" t="s">
        <v>541</v>
      </c>
      <c r="H703" s="40" t="s">
        <v>47</v>
      </c>
      <c r="I703" s="38">
        <v>65</v>
      </c>
      <c r="J703" s="38">
        <v>2172.3200000000002</v>
      </c>
    </row>
    <row r="704" spans="2:10" x14ac:dyDescent="0.25">
      <c r="B704" s="40" t="s">
        <v>371</v>
      </c>
      <c r="C704" s="40" t="s">
        <v>325</v>
      </c>
      <c r="D704" s="40">
        <v>20260625</v>
      </c>
      <c r="E704" s="40" t="s">
        <v>291</v>
      </c>
      <c r="F704" s="40" t="s">
        <v>543</v>
      </c>
      <c r="G704" s="40" t="s">
        <v>541</v>
      </c>
      <c r="H704" s="40" t="s">
        <v>47</v>
      </c>
      <c r="I704" s="38">
        <v>5.17</v>
      </c>
      <c r="J704" s="38">
        <v>2177.4899999999998</v>
      </c>
    </row>
    <row r="705" spans="1:10" x14ac:dyDescent="0.25">
      <c r="B705" s="40" t="s">
        <v>371</v>
      </c>
      <c r="C705" s="40" t="s">
        <v>325</v>
      </c>
      <c r="D705" s="40">
        <v>20260625</v>
      </c>
      <c r="E705" s="40" t="s">
        <v>291</v>
      </c>
      <c r="F705" s="40" t="s">
        <v>542</v>
      </c>
      <c r="G705" s="40"/>
      <c r="H705" s="40" t="s">
        <v>47</v>
      </c>
      <c r="I705" s="38">
        <v>13</v>
      </c>
      <c r="J705" s="38">
        <v>2190.4899999999998</v>
      </c>
    </row>
    <row r="706" spans="1:10" x14ac:dyDescent="0.25">
      <c r="B706" s="40" t="s">
        <v>371</v>
      </c>
      <c r="C706" s="40" t="s">
        <v>325</v>
      </c>
      <c r="D706" s="40">
        <v>20260625</v>
      </c>
      <c r="E706" s="40" t="s">
        <v>291</v>
      </c>
      <c r="F706" s="40" t="s">
        <v>542</v>
      </c>
      <c r="G706" s="40" t="s">
        <v>541</v>
      </c>
      <c r="H706" s="40" t="s">
        <v>47</v>
      </c>
      <c r="I706" s="38">
        <v>84.5</v>
      </c>
      <c r="J706" s="38">
        <v>2274.9899999999998</v>
      </c>
    </row>
    <row r="707" spans="1:10" x14ac:dyDescent="0.25">
      <c r="B707" s="40" t="s">
        <v>371</v>
      </c>
      <c r="C707" s="40" t="s">
        <v>325</v>
      </c>
      <c r="D707" s="40">
        <v>20260625</v>
      </c>
      <c r="E707" s="40" t="s">
        <v>291</v>
      </c>
      <c r="F707" s="40" t="s">
        <v>540</v>
      </c>
      <c r="G707" s="40" t="s">
        <v>539</v>
      </c>
      <c r="H707" s="40" t="s">
        <v>47</v>
      </c>
      <c r="I707" s="38">
        <v>16.25</v>
      </c>
      <c r="J707" s="38">
        <v>2291.2399999999998</v>
      </c>
    </row>
    <row r="708" spans="1:10" x14ac:dyDescent="0.25">
      <c r="B708" s="40" t="s">
        <v>368</v>
      </c>
      <c r="C708" s="40" t="s">
        <v>306</v>
      </c>
      <c r="D708" s="40"/>
      <c r="E708" s="40" t="s">
        <v>291</v>
      </c>
      <c r="F708" s="40"/>
      <c r="G708" s="40" t="s">
        <v>538</v>
      </c>
      <c r="H708" s="40" t="s">
        <v>9</v>
      </c>
      <c r="I708" s="38">
        <v>9.75</v>
      </c>
      <c r="J708" s="38">
        <v>2300.9899999999998</v>
      </c>
    </row>
    <row r="709" spans="1:10" x14ac:dyDescent="0.25">
      <c r="B709" s="40" t="s">
        <v>368</v>
      </c>
      <c r="C709" s="40" t="s">
        <v>359</v>
      </c>
      <c r="D709" s="40"/>
      <c r="E709" s="40" t="s">
        <v>291</v>
      </c>
      <c r="F709" s="40" t="s">
        <v>537</v>
      </c>
      <c r="G709" s="40" t="s">
        <v>536</v>
      </c>
      <c r="H709" s="40" t="s">
        <v>9</v>
      </c>
      <c r="I709" s="38">
        <v>-9.75</v>
      </c>
      <c r="J709" s="38">
        <v>2291.2399999999998</v>
      </c>
    </row>
    <row r="710" spans="1:10" x14ac:dyDescent="0.25">
      <c r="A710" s="24" t="s">
        <v>535</v>
      </c>
      <c r="I710" s="37">
        <v>1939.71</v>
      </c>
    </row>
    <row r="711" spans="1:10" x14ac:dyDescent="0.25">
      <c r="A711" s="24" t="s">
        <v>158</v>
      </c>
    </row>
    <row r="712" spans="1:10" x14ac:dyDescent="0.25">
      <c r="A712" s="24" t="s">
        <v>534</v>
      </c>
    </row>
    <row r="713" spans="1:10" x14ac:dyDescent="0.25">
      <c r="B713" s="40" t="s">
        <v>301</v>
      </c>
      <c r="J713" s="38">
        <v>121406.78</v>
      </c>
    </row>
    <row r="714" spans="1:10" x14ac:dyDescent="0.25">
      <c r="B714" s="40" t="s">
        <v>412</v>
      </c>
      <c r="C714" s="40" t="s">
        <v>293</v>
      </c>
      <c r="D714" s="40" t="s">
        <v>317</v>
      </c>
      <c r="E714" s="40" t="s">
        <v>291</v>
      </c>
      <c r="F714" s="40"/>
      <c r="G714" s="40" t="s">
        <v>533</v>
      </c>
      <c r="H714" s="39" t="s">
        <v>289</v>
      </c>
      <c r="I714" s="38">
        <v>10.06</v>
      </c>
      <c r="J714" s="38">
        <v>121416.84</v>
      </c>
    </row>
    <row r="715" spans="1:10" x14ac:dyDescent="0.25">
      <c r="B715" s="40" t="s">
        <v>412</v>
      </c>
      <c r="C715" s="40" t="s">
        <v>293</v>
      </c>
      <c r="D715" s="40" t="s">
        <v>317</v>
      </c>
      <c r="E715" s="40" t="s">
        <v>291</v>
      </c>
      <c r="F715" s="40"/>
      <c r="G715" s="40" t="s">
        <v>532</v>
      </c>
      <c r="H715" s="39" t="s">
        <v>289</v>
      </c>
      <c r="I715" s="38">
        <v>1191.26</v>
      </c>
      <c r="J715" s="38">
        <v>122608.1</v>
      </c>
    </row>
    <row r="716" spans="1:10" x14ac:dyDescent="0.25">
      <c r="B716" s="40" t="s">
        <v>412</v>
      </c>
      <c r="C716" s="40" t="s">
        <v>293</v>
      </c>
      <c r="D716" s="40" t="s">
        <v>317</v>
      </c>
      <c r="E716" s="40" t="s">
        <v>291</v>
      </c>
      <c r="F716" s="40"/>
      <c r="G716" s="40" t="s">
        <v>529</v>
      </c>
      <c r="H716" s="39" t="s">
        <v>289</v>
      </c>
      <c r="I716" s="38">
        <v>15980.32</v>
      </c>
      <c r="J716" s="38">
        <v>138588.42000000001</v>
      </c>
    </row>
    <row r="717" spans="1:10" x14ac:dyDescent="0.25">
      <c r="B717" s="40" t="s">
        <v>337</v>
      </c>
      <c r="C717" s="40" t="s">
        <v>293</v>
      </c>
      <c r="D717" s="40" t="s">
        <v>317</v>
      </c>
      <c r="E717" s="40" t="s">
        <v>291</v>
      </c>
      <c r="F717" s="40"/>
      <c r="G717" s="40" t="s">
        <v>531</v>
      </c>
      <c r="H717" s="39" t="s">
        <v>289</v>
      </c>
      <c r="I717" s="38">
        <v>135.35</v>
      </c>
      <c r="J717" s="38">
        <v>138723.76999999999</v>
      </c>
    </row>
    <row r="718" spans="1:10" x14ac:dyDescent="0.25">
      <c r="B718" s="40" t="s">
        <v>337</v>
      </c>
      <c r="C718" s="40" t="s">
        <v>293</v>
      </c>
      <c r="D718" s="40" t="s">
        <v>317</v>
      </c>
      <c r="E718" s="40" t="s">
        <v>291</v>
      </c>
      <c r="F718" s="40"/>
      <c r="G718" s="40" t="s">
        <v>530</v>
      </c>
      <c r="H718" s="39" t="s">
        <v>289</v>
      </c>
      <c r="I718" s="38">
        <v>10</v>
      </c>
      <c r="J718" s="38">
        <v>138733.76999999999</v>
      </c>
    </row>
    <row r="719" spans="1:10" x14ac:dyDescent="0.25">
      <c r="B719" s="40" t="s">
        <v>337</v>
      </c>
      <c r="C719" s="40" t="s">
        <v>293</v>
      </c>
      <c r="D719" s="40" t="s">
        <v>317</v>
      </c>
      <c r="E719" s="40" t="s">
        <v>291</v>
      </c>
      <c r="F719" s="40"/>
      <c r="G719" s="40" t="s">
        <v>529</v>
      </c>
      <c r="H719" s="39" t="s">
        <v>289</v>
      </c>
      <c r="I719" s="38">
        <v>18180.82</v>
      </c>
      <c r="J719" s="38">
        <v>156914.59</v>
      </c>
    </row>
    <row r="720" spans="1:10" x14ac:dyDescent="0.25">
      <c r="B720" s="40" t="s">
        <v>294</v>
      </c>
      <c r="C720" s="40" t="s">
        <v>293</v>
      </c>
      <c r="D720" s="40" t="s">
        <v>502</v>
      </c>
      <c r="E720" s="40" t="s">
        <v>291</v>
      </c>
      <c r="F720" s="40"/>
      <c r="G720" s="40" t="s">
        <v>503</v>
      </c>
      <c r="H720" s="39" t="s">
        <v>289</v>
      </c>
      <c r="I720" s="38">
        <v>780.3</v>
      </c>
      <c r="J720" s="38">
        <v>157694.89000000001</v>
      </c>
    </row>
    <row r="721" spans="2:10" x14ac:dyDescent="0.25">
      <c r="B721" s="40" t="s">
        <v>294</v>
      </c>
      <c r="C721" s="40" t="s">
        <v>293</v>
      </c>
      <c r="D721" s="40" t="s">
        <v>502</v>
      </c>
      <c r="E721" s="40" t="s">
        <v>291</v>
      </c>
      <c r="F721" s="40"/>
      <c r="G721" s="40"/>
      <c r="H721" s="39" t="s">
        <v>289</v>
      </c>
      <c r="I721" s="38">
        <v>-35507.81</v>
      </c>
      <c r="J721" s="38">
        <v>122187.08</v>
      </c>
    </row>
    <row r="722" spans="2:10" x14ac:dyDescent="0.25">
      <c r="B722" s="40" t="s">
        <v>294</v>
      </c>
      <c r="C722" s="40" t="s">
        <v>293</v>
      </c>
      <c r="D722" s="40" t="s">
        <v>502</v>
      </c>
      <c r="E722" s="40" t="s">
        <v>291</v>
      </c>
      <c r="F722" s="40"/>
      <c r="G722" s="40" t="s">
        <v>519</v>
      </c>
      <c r="H722" s="39" t="s">
        <v>289</v>
      </c>
      <c r="I722" s="38">
        <v>4041.15</v>
      </c>
      <c r="J722" s="38">
        <v>126228.23</v>
      </c>
    </row>
    <row r="723" spans="2:10" x14ac:dyDescent="0.25">
      <c r="B723" s="40" t="s">
        <v>294</v>
      </c>
      <c r="C723" s="40" t="s">
        <v>293</v>
      </c>
      <c r="D723" s="40" t="s">
        <v>502</v>
      </c>
      <c r="E723" s="40" t="s">
        <v>291</v>
      </c>
      <c r="F723" s="40"/>
      <c r="G723" s="40" t="s">
        <v>519</v>
      </c>
      <c r="H723" s="39" t="s">
        <v>289</v>
      </c>
      <c r="I723" s="38">
        <v>4041.15</v>
      </c>
      <c r="J723" s="38">
        <v>130269.38</v>
      </c>
    </row>
    <row r="724" spans="2:10" x14ac:dyDescent="0.25">
      <c r="B724" s="40" t="s">
        <v>294</v>
      </c>
      <c r="C724" s="40" t="s">
        <v>293</v>
      </c>
      <c r="D724" s="40" t="s">
        <v>502</v>
      </c>
      <c r="E724" s="40" t="s">
        <v>291</v>
      </c>
      <c r="F724" s="40"/>
      <c r="G724" s="40" t="s">
        <v>528</v>
      </c>
      <c r="H724" s="39" t="s">
        <v>289</v>
      </c>
      <c r="I724" s="38">
        <v>513.35</v>
      </c>
      <c r="J724" s="38">
        <v>130782.73</v>
      </c>
    </row>
    <row r="725" spans="2:10" x14ac:dyDescent="0.25">
      <c r="B725" s="40" t="s">
        <v>294</v>
      </c>
      <c r="C725" s="40" t="s">
        <v>293</v>
      </c>
      <c r="D725" s="40" t="s">
        <v>502</v>
      </c>
      <c r="E725" s="40" t="s">
        <v>291</v>
      </c>
      <c r="F725" s="40"/>
      <c r="G725" s="40" t="s">
        <v>517</v>
      </c>
      <c r="H725" s="39" t="s">
        <v>289</v>
      </c>
      <c r="I725" s="38">
        <v>230</v>
      </c>
      <c r="J725" s="38">
        <v>131012.73</v>
      </c>
    </row>
    <row r="726" spans="2:10" x14ac:dyDescent="0.25">
      <c r="B726" s="40" t="s">
        <v>294</v>
      </c>
      <c r="C726" s="40" t="s">
        <v>293</v>
      </c>
      <c r="D726" s="40" t="s">
        <v>502</v>
      </c>
      <c r="E726" s="40" t="s">
        <v>291</v>
      </c>
      <c r="F726" s="40"/>
      <c r="G726" s="40" t="s">
        <v>518</v>
      </c>
      <c r="H726" s="39" t="s">
        <v>289</v>
      </c>
      <c r="I726" s="38">
        <v>80</v>
      </c>
      <c r="J726" s="38">
        <v>131092.73000000001</v>
      </c>
    </row>
    <row r="727" spans="2:10" x14ac:dyDescent="0.25">
      <c r="B727" s="40" t="s">
        <v>294</v>
      </c>
      <c r="C727" s="40" t="s">
        <v>293</v>
      </c>
      <c r="D727" s="40" t="s">
        <v>502</v>
      </c>
      <c r="E727" s="40" t="s">
        <v>291</v>
      </c>
      <c r="F727" s="40"/>
      <c r="G727" s="40" t="s">
        <v>522</v>
      </c>
      <c r="H727" s="39" t="s">
        <v>289</v>
      </c>
      <c r="I727" s="38">
        <v>296.67</v>
      </c>
      <c r="J727" s="38">
        <v>131389.4</v>
      </c>
    </row>
    <row r="728" spans="2:10" x14ac:dyDescent="0.25">
      <c r="B728" s="40" t="s">
        <v>294</v>
      </c>
      <c r="C728" s="40" t="s">
        <v>293</v>
      </c>
      <c r="D728" s="40" t="s">
        <v>502</v>
      </c>
      <c r="E728" s="40" t="s">
        <v>291</v>
      </c>
      <c r="F728" s="40"/>
      <c r="G728" s="40" t="s">
        <v>520</v>
      </c>
      <c r="H728" s="39" t="s">
        <v>289</v>
      </c>
      <c r="I728" s="38">
        <v>273.33</v>
      </c>
      <c r="J728" s="38">
        <v>131662.73000000001</v>
      </c>
    </row>
    <row r="729" spans="2:10" x14ac:dyDescent="0.25">
      <c r="B729" s="40" t="s">
        <v>294</v>
      </c>
      <c r="C729" s="40" t="s">
        <v>293</v>
      </c>
      <c r="D729" s="40" t="s">
        <v>502</v>
      </c>
      <c r="E729" s="40" t="s">
        <v>291</v>
      </c>
      <c r="F729" s="40"/>
      <c r="G729" s="40" t="s">
        <v>521</v>
      </c>
      <c r="H729" s="39" t="s">
        <v>289</v>
      </c>
      <c r="I729" s="38">
        <v>214</v>
      </c>
      <c r="J729" s="38">
        <v>131876.73000000001</v>
      </c>
    </row>
    <row r="730" spans="2:10" x14ac:dyDescent="0.25">
      <c r="B730" s="40" t="s">
        <v>294</v>
      </c>
      <c r="C730" s="40" t="s">
        <v>293</v>
      </c>
      <c r="D730" s="40" t="s">
        <v>502</v>
      </c>
      <c r="E730" s="40" t="s">
        <v>291</v>
      </c>
      <c r="F730" s="40"/>
      <c r="G730" s="40" t="s">
        <v>309</v>
      </c>
      <c r="H730" s="39" t="s">
        <v>289</v>
      </c>
      <c r="I730" s="38">
        <v>403.76</v>
      </c>
      <c r="J730" s="38">
        <v>132280.49</v>
      </c>
    </row>
    <row r="731" spans="2:10" x14ac:dyDescent="0.25">
      <c r="B731" s="40" t="s">
        <v>294</v>
      </c>
      <c r="C731" s="40" t="s">
        <v>293</v>
      </c>
      <c r="D731" s="40" t="s">
        <v>502</v>
      </c>
      <c r="E731" s="40" t="s">
        <v>291</v>
      </c>
      <c r="F731" s="40"/>
      <c r="G731" s="40" t="s">
        <v>309</v>
      </c>
      <c r="H731" s="39" t="s">
        <v>289</v>
      </c>
      <c r="I731" s="38">
        <v>1615</v>
      </c>
      <c r="J731" s="38">
        <v>133895.49</v>
      </c>
    </row>
    <row r="732" spans="2:10" x14ac:dyDescent="0.25">
      <c r="B732" s="40" t="s">
        <v>294</v>
      </c>
      <c r="C732" s="40" t="s">
        <v>293</v>
      </c>
      <c r="D732" s="40" t="s">
        <v>502</v>
      </c>
      <c r="E732" s="40" t="s">
        <v>291</v>
      </c>
      <c r="F732" s="40"/>
      <c r="G732" s="40" t="s">
        <v>309</v>
      </c>
      <c r="H732" s="39" t="s">
        <v>289</v>
      </c>
      <c r="I732" s="38">
        <v>403.76</v>
      </c>
      <c r="J732" s="38">
        <v>134299.25</v>
      </c>
    </row>
    <row r="733" spans="2:10" x14ac:dyDescent="0.25">
      <c r="B733" s="40" t="s">
        <v>294</v>
      </c>
      <c r="C733" s="40" t="s">
        <v>293</v>
      </c>
      <c r="D733" s="40" t="s">
        <v>502</v>
      </c>
      <c r="E733" s="40" t="s">
        <v>291</v>
      </c>
      <c r="F733" s="40"/>
      <c r="G733" s="40" t="s">
        <v>309</v>
      </c>
      <c r="H733" s="39" t="s">
        <v>289</v>
      </c>
      <c r="I733" s="38">
        <v>1615</v>
      </c>
      <c r="J733" s="38">
        <v>135914.25</v>
      </c>
    </row>
    <row r="734" spans="2:10" x14ac:dyDescent="0.25">
      <c r="B734" s="40" t="s">
        <v>294</v>
      </c>
      <c r="C734" s="40" t="s">
        <v>293</v>
      </c>
      <c r="D734" s="40" t="s">
        <v>502</v>
      </c>
      <c r="E734" s="40" t="s">
        <v>291</v>
      </c>
      <c r="F734" s="40"/>
      <c r="G734" s="40" t="s">
        <v>311</v>
      </c>
      <c r="H734" s="39" t="s">
        <v>289</v>
      </c>
      <c r="I734" s="38">
        <v>1838.72</v>
      </c>
      <c r="J734" s="38">
        <v>137752.97</v>
      </c>
    </row>
    <row r="735" spans="2:10" x14ac:dyDescent="0.25">
      <c r="B735" s="40" t="s">
        <v>294</v>
      </c>
      <c r="C735" s="40" t="s">
        <v>293</v>
      </c>
      <c r="D735" s="40" t="s">
        <v>502</v>
      </c>
      <c r="E735" s="40" t="s">
        <v>291</v>
      </c>
      <c r="F735" s="40"/>
      <c r="G735" s="40" t="s">
        <v>311</v>
      </c>
      <c r="H735" s="39" t="s">
        <v>289</v>
      </c>
      <c r="I735" s="38">
        <v>1838.72</v>
      </c>
      <c r="J735" s="38">
        <v>139591.69</v>
      </c>
    </row>
    <row r="736" spans="2:10" x14ac:dyDescent="0.25">
      <c r="B736" s="40" t="s">
        <v>294</v>
      </c>
      <c r="C736" s="40" t="s">
        <v>293</v>
      </c>
      <c r="D736" s="40" t="s">
        <v>502</v>
      </c>
      <c r="E736" s="40" t="s">
        <v>291</v>
      </c>
      <c r="F736" s="40"/>
      <c r="G736" s="40" t="s">
        <v>311</v>
      </c>
      <c r="H736" s="39" t="s">
        <v>289</v>
      </c>
      <c r="I736" s="38">
        <v>919.37</v>
      </c>
      <c r="J736" s="38">
        <v>140511.06</v>
      </c>
    </row>
    <row r="737" spans="1:10" x14ac:dyDescent="0.25">
      <c r="B737" s="40" t="s">
        <v>294</v>
      </c>
      <c r="C737" s="40" t="s">
        <v>293</v>
      </c>
      <c r="D737" s="40" t="s">
        <v>502</v>
      </c>
      <c r="E737" s="40" t="s">
        <v>291</v>
      </c>
      <c r="F737" s="40"/>
      <c r="G737" s="40" t="s">
        <v>505</v>
      </c>
      <c r="H737" s="39" t="s">
        <v>289</v>
      </c>
      <c r="I737" s="38">
        <v>2111.4499999999998</v>
      </c>
      <c r="J737" s="38">
        <v>142622.51</v>
      </c>
    </row>
    <row r="738" spans="1:10" x14ac:dyDescent="0.25">
      <c r="B738" s="40" t="s">
        <v>294</v>
      </c>
      <c r="C738" s="40" t="s">
        <v>293</v>
      </c>
      <c r="D738" s="40" t="s">
        <v>502</v>
      </c>
      <c r="E738" s="40" t="s">
        <v>291</v>
      </c>
      <c r="F738" s="40"/>
      <c r="G738" s="40" t="s">
        <v>505</v>
      </c>
      <c r="H738" s="39" t="s">
        <v>289</v>
      </c>
      <c r="I738" s="38">
        <v>469.17</v>
      </c>
      <c r="J738" s="38">
        <v>143091.68</v>
      </c>
    </row>
    <row r="739" spans="1:10" x14ac:dyDescent="0.25">
      <c r="B739" s="40" t="s">
        <v>294</v>
      </c>
      <c r="C739" s="40" t="s">
        <v>293</v>
      </c>
      <c r="D739" s="40" t="s">
        <v>502</v>
      </c>
      <c r="E739" s="40" t="s">
        <v>291</v>
      </c>
      <c r="F739" s="40"/>
      <c r="G739" s="40" t="s">
        <v>505</v>
      </c>
      <c r="H739" s="39" t="s">
        <v>289</v>
      </c>
      <c r="I739" s="38">
        <v>2111.4499999999998</v>
      </c>
      <c r="J739" s="38">
        <v>145203.13</v>
      </c>
    </row>
    <row r="740" spans="1:10" x14ac:dyDescent="0.25">
      <c r="B740" s="40" t="s">
        <v>294</v>
      </c>
      <c r="C740" s="40" t="s">
        <v>293</v>
      </c>
      <c r="D740" s="40" t="s">
        <v>502</v>
      </c>
      <c r="E740" s="40" t="s">
        <v>291</v>
      </c>
      <c r="F740" s="40"/>
      <c r="G740" s="40" t="s">
        <v>504</v>
      </c>
      <c r="H740" s="39" t="s">
        <v>289</v>
      </c>
      <c r="I740" s="38">
        <v>2344.37</v>
      </c>
      <c r="J740" s="38">
        <v>147547.5</v>
      </c>
    </row>
    <row r="741" spans="1:10" x14ac:dyDescent="0.25">
      <c r="B741" s="40" t="s">
        <v>294</v>
      </c>
      <c r="C741" s="40" t="s">
        <v>293</v>
      </c>
      <c r="D741" s="40" t="s">
        <v>502</v>
      </c>
      <c r="E741" s="40" t="s">
        <v>291</v>
      </c>
      <c r="F741" s="40"/>
      <c r="G741" s="40" t="s">
        <v>504</v>
      </c>
      <c r="H741" s="39" t="s">
        <v>289</v>
      </c>
      <c r="I741" s="38">
        <v>2344.37</v>
      </c>
      <c r="J741" s="38">
        <v>149891.87</v>
      </c>
    </row>
    <row r="742" spans="1:10" x14ac:dyDescent="0.25">
      <c r="B742" s="40" t="s">
        <v>294</v>
      </c>
      <c r="C742" s="40" t="s">
        <v>293</v>
      </c>
      <c r="D742" s="40" t="s">
        <v>502</v>
      </c>
      <c r="E742" s="40" t="s">
        <v>291</v>
      </c>
      <c r="F742" s="40"/>
      <c r="G742" s="40" t="s">
        <v>503</v>
      </c>
      <c r="H742" s="39" t="s">
        <v>289</v>
      </c>
      <c r="I742" s="38">
        <v>780.3</v>
      </c>
      <c r="J742" s="38">
        <v>150672.17000000001</v>
      </c>
    </row>
    <row r="743" spans="1:10" x14ac:dyDescent="0.25">
      <c r="B743" s="40" t="s">
        <v>294</v>
      </c>
      <c r="C743" s="40" t="s">
        <v>293</v>
      </c>
      <c r="D743" s="40" t="s">
        <v>502</v>
      </c>
      <c r="E743" s="40" t="s">
        <v>291</v>
      </c>
      <c r="F743" s="40"/>
      <c r="G743" s="40" t="s">
        <v>503</v>
      </c>
      <c r="H743" s="39" t="s">
        <v>289</v>
      </c>
      <c r="I743" s="38">
        <v>780.3</v>
      </c>
      <c r="J743" s="38">
        <v>151452.47</v>
      </c>
    </row>
    <row r="744" spans="1:10" x14ac:dyDescent="0.25">
      <c r="B744" s="40" t="s">
        <v>294</v>
      </c>
      <c r="C744" s="40" t="s">
        <v>293</v>
      </c>
      <c r="D744" s="40" t="s">
        <v>502</v>
      </c>
      <c r="E744" s="40" t="s">
        <v>291</v>
      </c>
      <c r="F744" s="40"/>
      <c r="G744" s="40" t="s">
        <v>503</v>
      </c>
      <c r="H744" s="39" t="s">
        <v>289</v>
      </c>
      <c r="I744" s="38">
        <v>780.3</v>
      </c>
      <c r="J744" s="38">
        <v>152232.76999999999</v>
      </c>
    </row>
    <row r="745" spans="1:10" x14ac:dyDescent="0.25">
      <c r="B745" s="40" t="s">
        <v>294</v>
      </c>
      <c r="C745" s="40" t="s">
        <v>293</v>
      </c>
      <c r="D745" s="40" t="s">
        <v>502</v>
      </c>
      <c r="E745" s="40" t="s">
        <v>291</v>
      </c>
      <c r="F745" s="40"/>
      <c r="G745" s="40" t="s">
        <v>503</v>
      </c>
      <c r="H745" s="39" t="s">
        <v>289</v>
      </c>
      <c r="I745" s="38">
        <v>4681.8</v>
      </c>
      <c r="J745" s="38">
        <v>156914.57</v>
      </c>
    </row>
    <row r="746" spans="1:10" x14ac:dyDescent="0.25">
      <c r="A746" s="24" t="s">
        <v>527</v>
      </c>
      <c r="I746" s="37">
        <v>35507.79</v>
      </c>
    </row>
    <row r="747" spans="1:10" x14ac:dyDescent="0.25">
      <c r="A747" s="24" t="s">
        <v>526</v>
      </c>
    </row>
    <row r="748" spans="1:10" x14ac:dyDescent="0.25">
      <c r="B748" s="40" t="s">
        <v>301</v>
      </c>
      <c r="J748" s="38">
        <v>10471.74</v>
      </c>
    </row>
    <row r="749" spans="1:10" x14ac:dyDescent="0.25">
      <c r="B749" s="40" t="s">
        <v>412</v>
      </c>
      <c r="C749" s="40" t="s">
        <v>293</v>
      </c>
      <c r="D749" s="40" t="s">
        <v>317</v>
      </c>
      <c r="E749" s="40" t="s">
        <v>291</v>
      </c>
      <c r="F749" s="40"/>
      <c r="G749" s="40" t="s">
        <v>523</v>
      </c>
      <c r="H749" s="39" t="s">
        <v>289</v>
      </c>
      <c r="I749" s="38">
        <v>1065.25</v>
      </c>
      <c r="J749" s="38">
        <v>11536.99</v>
      </c>
    </row>
    <row r="750" spans="1:10" x14ac:dyDescent="0.25">
      <c r="B750" s="40" t="s">
        <v>412</v>
      </c>
      <c r="C750" s="40" t="s">
        <v>293</v>
      </c>
      <c r="D750" s="40" t="s">
        <v>317</v>
      </c>
      <c r="E750" s="40" t="s">
        <v>291</v>
      </c>
      <c r="F750" s="40"/>
      <c r="G750" s="40" t="s">
        <v>525</v>
      </c>
      <c r="H750" s="39" t="s">
        <v>289</v>
      </c>
      <c r="I750" s="38">
        <v>249.1</v>
      </c>
      <c r="J750" s="38">
        <v>11786.09</v>
      </c>
    </row>
    <row r="751" spans="1:10" x14ac:dyDescent="0.25">
      <c r="B751" s="40" t="s">
        <v>412</v>
      </c>
      <c r="C751" s="40" t="s">
        <v>293</v>
      </c>
      <c r="D751" s="40" t="s">
        <v>317</v>
      </c>
      <c r="E751" s="40" t="s">
        <v>291</v>
      </c>
      <c r="F751" s="40"/>
      <c r="G751" s="40" t="s">
        <v>524</v>
      </c>
      <c r="H751" s="39" t="s">
        <v>289</v>
      </c>
      <c r="I751" s="38">
        <v>164.49</v>
      </c>
      <c r="J751" s="38">
        <v>11950.58</v>
      </c>
    </row>
    <row r="752" spans="1:10" x14ac:dyDescent="0.25">
      <c r="B752" s="40" t="s">
        <v>337</v>
      </c>
      <c r="C752" s="40" t="s">
        <v>293</v>
      </c>
      <c r="D752" s="40" t="s">
        <v>317</v>
      </c>
      <c r="E752" s="40" t="s">
        <v>291</v>
      </c>
      <c r="F752" s="40"/>
      <c r="G752" s="40" t="s">
        <v>525</v>
      </c>
      <c r="H752" s="39" t="s">
        <v>289</v>
      </c>
      <c r="I752" s="38">
        <v>265.73</v>
      </c>
      <c r="J752" s="38">
        <v>12216.31</v>
      </c>
    </row>
    <row r="753" spans="2:10" x14ac:dyDescent="0.25">
      <c r="B753" s="40" t="s">
        <v>337</v>
      </c>
      <c r="C753" s="40" t="s">
        <v>293</v>
      </c>
      <c r="D753" s="40" t="s">
        <v>317</v>
      </c>
      <c r="E753" s="40" t="s">
        <v>291</v>
      </c>
      <c r="F753" s="40"/>
      <c r="G753" s="40" t="s">
        <v>524</v>
      </c>
      <c r="H753" s="39" t="s">
        <v>289</v>
      </c>
      <c r="I753" s="38">
        <v>175.91</v>
      </c>
      <c r="J753" s="38">
        <v>12392.22</v>
      </c>
    </row>
    <row r="754" spans="2:10" x14ac:dyDescent="0.25">
      <c r="B754" s="40" t="s">
        <v>337</v>
      </c>
      <c r="C754" s="40" t="s">
        <v>293</v>
      </c>
      <c r="D754" s="40" t="s">
        <v>317</v>
      </c>
      <c r="E754" s="40" t="s">
        <v>291</v>
      </c>
      <c r="F754" s="40"/>
      <c r="G754" s="40" t="s">
        <v>523</v>
      </c>
      <c r="H754" s="39" t="s">
        <v>289</v>
      </c>
      <c r="I754" s="38">
        <v>1136.22</v>
      </c>
      <c r="J754" s="38">
        <v>13528.44</v>
      </c>
    </row>
    <row r="755" spans="2:10" x14ac:dyDescent="0.25">
      <c r="B755" s="40" t="s">
        <v>294</v>
      </c>
      <c r="C755" s="40" t="s">
        <v>293</v>
      </c>
      <c r="D755" s="40" t="s">
        <v>502</v>
      </c>
      <c r="E755" s="40" t="s">
        <v>291</v>
      </c>
      <c r="F755" s="40"/>
      <c r="G755" s="40" t="s">
        <v>504</v>
      </c>
      <c r="H755" s="39" t="s">
        <v>289</v>
      </c>
      <c r="I755" s="38">
        <v>201.24</v>
      </c>
      <c r="J755" s="38">
        <v>13729.68</v>
      </c>
    </row>
    <row r="756" spans="2:10" x14ac:dyDescent="0.25">
      <c r="B756" s="40" t="s">
        <v>294</v>
      </c>
      <c r="C756" s="40" t="s">
        <v>293</v>
      </c>
      <c r="D756" s="40" t="s">
        <v>502</v>
      </c>
      <c r="E756" s="40" t="s">
        <v>291</v>
      </c>
      <c r="F756" s="40"/>
      <c r="G756" s="40" t="s">
        <v>505</v>
      </c>
      <c r="H756" s="39" t="s">
        <v>289</v>
      </c>
      <c r="I756" s="38">
        <v>40.270000000000003</v>
      </c>
      <c r="J756" s="38">
        <v>13769.95</v>
      </c>
    </row>
    <row r="757" spans="2:10" x14ac:dyDescent="0.25">
      <c r="B757" s="40" t="s">
        <v>294</v>
      </c>
      <c r="C757" s="40" t="s">
        <v>293</v>
      </c>
      <c r="D757" s="40" t="s">
        <v>502</v>
      </c>
      <c r="E757" s="40" t="s">
        <v>291</v>
      </c>
      <c r="F757" s="40"/>
      <c r="G757" s="40" t="s">
        <v>504</v>
      </c>
      <c r="H757" s="39" t="s">
        <v>289</v>
      </c>
      <c r="I757" s="38">
        <v>201.24</v>
      </c>
      <c r="J757" s="38">
        <v>13971.19</v>
      </c>
    </row>
    <row r="758" spans="2:10" x14ac:dyDescent="0.25">
      <c r="B758" s="40" t="s">
        <v>294</v>
      </c>
      <c r="C758" s="40" t="s">
        <v>293</v>
      </c>
      <c r="D758" s="40" t="s">
        <v>502</v>
      </c>
      <c r="E758" s="40" t="s">
        <v>291</v>
      </c>
      <c r="F758" s="40"/>
      <c r="G758" s="40" t="s">
        <v>503</v>
      </c>
      <c r="H758" s="39" t="s">
        <v>289</v>
      </c>
      <c r="I758" s="38">
        <v>66.959999999999994</v>
      </c>
      <c r="J758" s="38">
        <v>14038.15</v>
      </c>
    </row>
    <row r="759" spans="2:10" x14ac:dyDescent="0.25">
      <c r="B759" s="40" t="s">
        <v>294</v>
      </c>
      <c r="C759" s="40" t="s">
        <v>293</v>
      </c>
      <c r="D759" s="40" t="s">
        <v>502</v>
      </c>
      <c r="E759" s="40" t="s">
        <v>291</v>
      </c>
      <c r="F759" s="40"/>
      <c r="G759" s="40" t="s">
        <v>503</v>
      </c>
      <c r="H759" s="39" t="s">
        <v>289</v>
      </c>
      <c r="I759" s="38">
        <v>66.959999999999994</v>
      </c>
      <c r="J759" s="38">
        <v>14105.11</v>
      </c>
    </row>
    <row r="760" spans="2:10" x14ac:dyDescent="0.25">
      <c r="B760" s="40" t="s">
        <v>294</v>
      </c>
      <c r="C760" s="40" t="s">
        <v>293</v>
      </c>
      <c r="D760" s="40" t="s">
        <v>502</v>
      </c>
      <c r="E760" s="40" t="s">
        <v>291</v>
      </c>
      <c r="F760" s="40"/>
      <c r="G760" s="40" t="s">
        <v>503</v>
      </c>
      <c r="H760" s="39" t="s">
        <v>289</v>
      </c>
      <c r="I760" s="38">
        <v>66.959999999999994</v>
      </c>
      <c r="J760" s="38">
        <v>14172.07</v>
      </c>
    </row>
    <row r="761" spans="2:10" x14ac:dyDescent="0.25">
      <c r="B761" s="40" t="s">
        <v>294</v>
      </c>
      <c r="C761" s="40" t="s">
        <v>293</v>
      </c>
      <c r="D761" s="40" t="s">
        <v>502</v>
      </c>
      <c r="E761" s="40" t="s">
        <v>291</v>
      </c>
      <c r="F761" s="40"/>
      <c r="G761" s="40" t="s">
        <v>503</v>
      </c>
      <c r="H761" s="39" t="s">
        <v>289</v>
      </c>
      <c r="I761" s="38">
        <v>66.959999999999994</v>
      </c>
      <c r="J761" s="38">
        <v>14239.03</v>
      </c>
    </row>
    <row r="762" spans="2:10" x14ac:dyDescent="0.25">
      <c r="B762" s="40" t="s">
        <v>294</v>
      </c>
      <c r="C762" s="40" t="s">
        <v>293</v>
      </c>
      <c r="D762" s="40" t="s">
        <v>502</v>
      </c>
      <c r="E762" s="40" t="s">
        <v>291</v>
      </c>
      <c r="F762" s="40"/>
      <c r="G762" s="40" t="s">
        <v>311</v>
      </c>
      <c r="H762" s="39" t="s">
        <v>289</v>
      </c>
      <c r="I762" s="38">
        <v>157.80000000000001</v>
      </c>
      <c r="J762" s="38">
        <v>14396.83</v>
      </c>
    </row>
    <row r="763" spans="2:10" x14ac:dyDescent="0.25">
      <c r="B763" s="40" t="s">
        <v>294</v>
      </c>
      <c r="C763" s="40" t="s">
        <v>293</v>
      </c>
      <c r="D763" s="40" t="s">
        <v>502</v>
      </c>
      <c r="E763" s="40" t="s">
        <v>291</v>
      </c>
      <c r="F763" s="40"/>
      <c r="G763" s="40" t="s">
        <v>522</v>
      </c>
      <c r="H763" s="39" t="s">
        <v>289</v>
      </c>
      <c r="I763" s="38">
        <v>25.66</v>
      </c>
      <c r="J763" s="38">
        <v>14422.49</v>
      </c>
    </row>
    <row r="764" spans="2:10" x14ac:dyDescent="0.25">
      <c r="B764" s="40" t="s">
        <v>294</v>
      </c>
      <c r="C764" s="40" t="s">
        <v>293</v>
      </c>
      <c r="D764" s="40" t="s">
        <v>502</v>
      </c>
      <c r="E764" s="40" t="s">
        <v>291</v>
      </c>
      <c r="F764" s="40"/>
      <c r="G764" s="40" t="s">
        <v>503</v>
      </c>
      <c r="H764" s="39" t="s">
        <v>289</v>
      </c>
      <c r="I764" s="38">
        <v>401.81</v>
      </c>
      <c r="J764" s="38">
        <v>14824.3</v>
      </c>
    </row>
    <row r="765" spans="2:10" x14ac:dyDescent="0.25">
      <c r="B765" s="40" t="s">
        <v>294</v>
      </c>
      <c r="C765" s="40" t="s">
        <v>293</v>
      </c>
      <c r="D765" s="40" t="s">
        <v>502</v>
      </c>
      <c r="E765" s="40" t="s">
        <v>291</v>
      </c>
      <c r="F765" s="40"/>
      <c r="G765" s="40" t="s">
        <v>521</v>
      </c>
      <c r="H765" s="39" t="s">
        <v>289</v>
      </c>
      <c r="I765" s="38">
        <v>18.510000000000002</v>
      </c>
      <c r="J765" s="38">
        <v>14842.81</v>
      </c>
    </row>
    <row r="766" spans="2:10" x14ac:dyDescent="0.25">
      <c r="B766" s="40" t="s">
        <v>294</v>
      </c>
      <c r="C766" s="40" t="s">
        <v>293</v>
      </c>
      <c r="D766" s="40" t="s">
        <v>502</v>
      </c>
      <c r="E766" s="40" t="s">
        <v>291</v>
      </c>
      <c r="F766" s="40"/>
      <c r="G766" s="40" t="s">
        <v>520</v>
      </c>
      <c r="H766" s="39" t="s">
        <v>289</v>
      </c>
      <c r="I766" s="38">
        <v>23.63</v>
      </c>
      <c r="J766" s="38">
        <v>14866.44</v>
      </c>
    </row>
    <row r="767" spans="2:10" x14ac:dyDescent="0.25">
      <c r="B767" s="40" t="s">
        <v>294</v>
      </c>
      <c r="C767" s="40" t="s">
        <v>293</v>
      </c>
      <c r="D767" s="40" t="s">
        <v>502</v>
      </c>
      <c r="E767" s="40" t="s">
        <v>291</v>
      </c>
      <c r="F767" s="40"/>
      <c r="G767" s="40" t="s">
        <v>311</v>
      </c>
      <c r="H767" s="39" t="s">
        <v>289</v>
      </c>
      <c r="I767" s="38">
        <v>78.900000000000006</v>
      </c>
      <c r="J767" s="38">
        <v>14945.34</v>
      </c>
    </row>
    <row r="768" spans="2:10" x14ac:dyDescent="0.25">
      <c r="B768" s="40" t="s">
        <v>294</v>
      </c>
      <c r="C768" s="40" t="s">
        <v>293</v>
      </c>
      <c r="D768" s="40" t="s">
        <v>502</v>
      </c>
      <c r="E768" s="40" t="s">
        <v>291</v>
      </c>
      <c r="F768" s="40"/>
      <c r="G768" s="40" t="s">
        <v>311</v>
      </c>
      <c r="H768" s="39" t="s">
        <v>289</v>
      </c>
      <c r="I768" s="38">
        <v>157.80000000000001</v>
      </c>
      <c r="J768" s="38">
        <v>15103.14</v>
      </c>
    </row>
    <row r="769" spans="1:10" x14ac:dyDescent="0.25">
      <c r="B769" s="40" t="s">
        <v>294</v>
      </c>
      <c r="C769" s="40" t="s">
        <v>293</v>
      </c>
      <c r="D769" s="40" t="s">
        <v>502</v>
      </c>
      <c r="E769" s="40" t="s">
        <v>291</v>
      </c>
      <c r="F769" s="40"/>
      <c r="G769" s="40" t="s">
        <v>505</v>
      </c>
      <c r="H769" s="39" t="s">
        <v>289</v>
      </c>
      <c r="I769" s="38">
        <v>181.22</v>
      </c>
      <c r="J769" s="38">
        <v>15284.36</v>
      </c>
    </row>
    <row r="770" spans="1:10" x14ac:dyDescent="0.25">
      <c r="B770" s="40" t="s">
        <v>294</v>
      </c>
      <c r="C770" s="40" t="s">
        <v>293</v>
      </c>
      <c r="D770" s="40" t="s">
        <v>502</v>
      </c>
      <c r="E770" s="40" t="s">
        <v>291</v>
      </c>
      <c r="F770" s="40"/>
      <c r="G770" s="40" t="s">
        <v>519</v>
      </c>
      <c r="H770" s="39" t="s">
        <v>289</v>
      </c>
      <c r="I770" s="38">
        <v>349.55</v>
      </c>
      <c r="J770" s="38">
        <v>15633.91</v>
      </c>
    </row>
    <row r="771" spans="1:10" x14ac:dyDescent="0.25">
      <c r="B771" s="40" t="s">
        <v>294</v>
      </c>
      <c r="C771" s="40" t="s">
        <v>293</v>
      </c>
      <c r="D771" s="40" t="s">
        <v>502</v>
      </c>
      <c r="E771" s="40" t="s">
        <v>291</v>
      </c>
      <c r="F771" s="40"/>
      <c r="G771" s="40" t="s">
        <v>519</v>
      </c>
      <c r="H771" s="39" t="s">
        <v>289</v>
      </c>
      <c r="I771" s="38">
        <v>349.55</v>
      </c>
      <c r="J771" s="38">
        <v>15983.46</v>
      </c>
    </row>
    <row r="772" spans="1:10" x14ac:dyDescent="0.25">
      <c r="B772" s="40" t="s">
        <v>294</v>
      </c>
      <c r="C772" s="40" t="s">
        <v>293</v>
      </c>
      <c r="D772" s="40" t="s">
        <v>502</v>
      </c>
      <c r="E772" s="40" t="s">
        <v>291</v>
      </c>
      <c r="F772" s="40"/>
      <c r="G772" s="40" t="s">
        <v>309</v>
      </c>
      <c r="H772" s="39" t="s">
        <v>289</v>
      </c>
      <c r="I772" s="38">
        <v>139.69999999999999</v>
      </c>
      <c r="J772" s="38">
        <v>16123.16</v>
      </c>
    </row>
    <row r="773" spans="1:10" x14ac:dyDescent="0.25">
      <c r="B773" s="40" t="s">
        <v>294</v>
      </c>
      <c r="C773" s="40" t="s">
        <v>293</v>
      </c>
      <c r="D773" s="40" t="s">
        <v>502</v>
      </c>
      <c r="E773" s="40" t="s">
        <v>291</v>
      </c>
      <c r="F773" s="40"/>
      <c r="G773" s="40" t="s">
        <v>518</v>
      </c>
      <c r="H773" s="39" t="s">
        <v>289</v>
      </c>
      <c r="I773" s="38">
        <v>6.92</v>
      </c>
      <c r="J773" s="38">
        <v>16130.08</v>
      </c>
    </row>
    <row r="774" spans="1:10" x14ac:dyDescent="0.25">
      <c r="B774" s="40" t="s">
        <v>294</v>
      </c>
      <c r="C774" s="40" t="s">
        <v>293</v>
      </c>
      <c r="D774" s="40" t="s">
        <v>502</v>
      </c>
      <c r="E774" s="40" t="s">
        <v>291</v>
      </c>
      <c r="F774" s="40"/>
      <c r="G774" s="40" t="s">
        <v>505</v>
      </c>
      <c r="H774" s="39" t="s">
        <v>289</v>
      </c>
      <c r="I774" s="38">
        <v>181.22</v>
      </c>
      <c r="J774" s="38">
        <v>16311.3</v>
      </c>
    </row>
    <row r="775" spans="1:10" x14ac:dyDescent="0.25">
      <c r="B775" s="40" t="s">
        <v>294</v>
      </c>
      <c r="C775" s="40" t="s">
        <v>293</v>
      </c>
      <c r="D775" s="40" t="s">
        <v>502</v>
      </c>
      <c r="E775" s="40" t="s">
        <v>291</v>
      </c>
      <c r="F775" s="40"/>
      <c r="G775" s="40" t="s">
        <v>309</v>
      </c>
      <c r="H775" s="39" t="s">
        <v>289</v>
      </c>
      <c r="I775" s="38">
        <v>34.93</v>
      </c>
      <c r="J775" s="38">
        <v>16346.23</v>
      </c>
    </row>
    <row r="776" spans="1:10" x14ac:dyDescent="0.25">
      <c r="B776" s="40" t="s">
        <v>294</v>
      </c>
      <c r="C776" s="40" t="s">
        <v>293</v>
      </c>
      <c r="D776" s="40" t="s">
        <v>502</v>
      </c>
      <c r="E776" s="40" t="s">
        <v>291</v>
      </c>
      <c r="F776" s="40"/>
      <c r="G776" s="40" t="s">
        <v>517</v>
      </c>
      <c r="H776" s="39" t="s">
        <v>289</v>
      </c>
      <c r="I776" s="38">
        <v>19.88</v>
      </c>
      <c r="J776" s="38">
        <v>16366.11</v>
      </c>
    </row>
    <row r="777" spans="1:10" x14ac:dyDescent="0.25">
      <c r="B777" s="40" t="s">
        <v>294</v>
      </c>
      <c r="C777" s="40" t="s">
        <v>293</v>
      </c>
      <c r="D777" s="40" t="s">
        <v>502</v>
      </c>
      <c r="E777" s="40" t="s">
        <v>291</v>
      </c>
      <c r="F777" s="40"/>
      <c r="G777" s="40" t="s">
        <v>516</v>
      </c>
      <c r="H777" s="39" t="s">
        <v>289</v>
      </c>
      <c r="I777" s="38">
        <v>44.41</v>
      </c>
      <c r="J777" s="38">
        <v>16410.52</v>
      </c>
    </row>
    <row r="778" spans="1:10" x14ac:dyDescent="0.25">
      <c r="B778" s="40" t="s">
        <v>294</v>
      </c>
      <c r="C778" s="40" t="s">
        <v>293</v>
      </c>
      <c r="D778" s="40" t="s">
        <v>502</v>
      </c>
      <c r="E778" s="40" t="s">
        <v>291</v>
      </c>
      <c r="F778" s="40"/>
      <c r="G778" s="40"/>
      <c r="H778" s="39" t="s">
        <v>289</v>
      </c>
      <c r="I778" s="38">
        <v>-3056.7</v>
      </c>
      <c r="J778" s="38">
        <v>13353.82</v>
      </c>
    </row>
    <row r="779" spans="1:10" x14ac:dyDescent="0.25">
      <c r="B779" s="40" t="s">
        <v>294</v>
      </c>
      <c r="C779" s="40" t="s">
        <v>293</v>
      </c>
      <c r="D779" s="40" t="s">
        <v>502</v>
      </c>
      <c r="E779" s="40" t="s">
        <v>291</v>
      </c>
      <c r="F779" s="40"/>
      <c r="G779" s="40" t="s">
        <v>309</v>
      </c>
      <c r="H779" s="39" t="s">
        <v>289</v>
      </c>
      <c r="I779" s="38">
        <v>139.69999999999999</v>
      </c>
      <c r="J779" s="38">
        <v>13493.52</v>
      </c>
    </row>
    <row r="780" spans="1:10" x14ac:dyDescent="0.25">
      <c r="B780" s="40" t="s">
        <v>294</v>
      </c>
      <c r="C780" s="40" t="s">
        <v>293</v>
      </c>
      <c r="D780" s="40" t="s">
        <v>502</v>
      </c>
      <c r="E780" s="40" t="s">
        <v>291</v>
      </c>
      <c r="F780" s="40"/>
      <c r="G780" s="40" t="s">
        <v>309</v>
      </c>
      <c r="H780" s="39" t="s">
        <v>289</v>
      </c>
      <c r="I780" s="38">
        <v>34.92</v>
      </c>
      <c r="J780" s="38">
        <v>13528.44</v>
      </c>
    </row>
    <row r="781" spans="1:10" x14ac:dyDescent="0.25">
      <c r="A781" s="24" t="s">
        <v>515</v>
      </c>
      <c r="I781" s="37">
        <v>3056.7</v>
      </c>
    </row>
    <row r="782" spans="1:10" x14ac:dyDescent="0.25">
      <c r="A782" s="24" t="s">
        <v>514</v>
      </c>
    </row>
    <row r="783" spans="1:10" x14ac:dyDescent="0.25">
      <c r="B783" s="40" t="s">
        <v>301</v>
      </c>
      <c r="J783" s="38">
        <v>3258.24</v>
      </c>
    </row>
    <row r="784" spans="1:10" x14ac:dyDescent="0.25">
      <c r="B784" s="40" t="s">
        <v>412</v>
      </c>
      <c r="C784" s="40" t="s">
        <v>293</v>
      </c>
      <c r="D784" s="40" t="s">
        <v>317</v>
      </c>
      <c r="E784" s="40" t="s">
        <v>291</v>
      </c>
      <c r="F784" s="40"/>
      <c r="G784" s="40" t="s">
        <v>513</v>
      </c>
      <c r="H784" s="39" t="s">
        <v>289</v>
      </c>
      <c r="I784" s="38">
        <v>734.85</v>
      </c>
      <c r="J784" s="38">
        <v>3993.09</v>
      </c>
    </row>
    <row r="785" spans="1:10" x14ac:dyDescent="0.25">
      <c r="B785" s="40" t="s">
        <v>337</v>
      </c>
      <c r="C785" s="40" t="s">
        <v>293</v>
      </c>
      <c r="D785" s="40" t="s">
        <v>317</v>
      </c>
      <c r="E785" s="40" t="s">
        <v>291</v>
      </c>
      <c r="F785" s="40"/>
      <c r="G785" s="40" t="s">
        <v>513</v>
      </c>
      <c r="H785" s="39" t="s">
        <v>289</v>
      </c>
      <c r="I785" s="38">
        <v>734.85</v>
      </c>
      <c r="J785" s="38">
        <v>4727.9399999999996</v>
      </c>
    </row>
    <row r="786" spans="1:10" x14ac:dyDescent="0.25">
      <c r="B786" s="40" t="s">
        <v>294</v>
      </c>
      <c r="C786" s="40" t="s">
        <v>293</v>
      </c>
      <c r="D786" s="40" t="s">
        <v>502</v>
      </c>
      <c r="E786" s="40" t="s">
        <v>291</v>
      </c>
      <c r="F786" s="40"/>
      <c r="G786" s="40" t="s">
        <v>311</v>
      </c>
      <c r="H786" s="39" t="s">
        <v>289</v>
      </c>
      <c r="I786" s="38">
        <v>124.11</v>
      </c>
      <c r="J786" s="38">
        <v>4852.05</v>
      </c>
    </row>
    <row r="787" spans="1:10" x14ac:dyDescent="0.25">
      <c r="B787" s="40" t="s">
        <v>294</v>
      </c>
      <c r="C787" s="40" t="s">
        <v>293</v>
      </c>
      <c r="D787" s="40" t="s">
        <v>502</v>
      </c>
      <c r="E787" s="40" t="s">
        <v>291</v>
      </c>
      <c r="F787" s="40"/>
      <c r="G787" s="40" t="s">
        <v>505</v>
      </c>
      <c r="H787" s="39" t="s">
        <v>289</v>
      </c>
      <c r="I787" s="38">
        <v>142.52000000000001</v>
      </c>
      <c r="J787" s="38">
        <v>4994.57</v>
      </c>
    </row>
    <row r="788" spans="1:10" x14ac:dyDescent="0.25">
      <c r="B788" s="40" t="s">
        <v>294</v>
      </c>
      <c r="C788" s="40" t="s">
        <v>293</v>
      </c>
      <c r="D788" s="40" t="s">
        <v>502</v>
      </c>
      <c r="E788" s="40" t="s">
        <v>291</v>
      </c>
      <c r="F788" s="40"/>
      <c r="G788" s="40" t="s">
        <v>505</v>
      </c>
      <c r="H788" s="39" t="s">
        <v>289</v>
      </c>
      <c r="I788" s="38">
        <v>31.67</v>
      </c>
      <c r="J788" s="38">
        <v>5026.24</v>
      </c>
    </row>
    <row r="789" spans="1:10" x14ac:dyDescent="0.25">
      <c r="B789" s="40" t="s">
        <v>294</v>
      </c>
      <c r="C789" s="40" t="s">
        <v>293</v>
      </c>
      <c r="D789" s="40" t="s">
        <v>502</v>
      </c>
      <c r="E789" s="40" t="s">
        <v>291</v>
      </c>
      <c r="F789" s="40"/>
      <c r="G789" s="40" t="s">
        <v>505</v>
      </c>
      <c r="H789" s="39" t="s">
        <v>289</v>
      </c>
      <c r="I789" s="38">
        <v>142.53</v>
      </c>
      <c r="J789" s="38">
        <v>5168.7700000000004</v>
      </c>
    </row>
    <row r="790" spans="1:10" x14ac:dyDescent="0.25">
      <c r="B790" s="40" t="s">
        <v>294</v>
      </c>
      <c r="C790" s="40" t="s">
        <v>293</v>
      </c>
      <c r="D790" s="40" t="s">
        <v>502</v>
      </c>
      <c r="E790" s="40" t="s">
        <v>291</v>
      </c>
      <c r="F790" s="40"/>
      <c r="G790" s="40" t="s">
        <v>504</v>
      </c>
      <c r="H790" s="39" t="s">
        <v>289</v>
      </c>
      <c r="I790" s="38">
        <v>158</v>
      </c>
      <c r="J790" s="38">
        <v>5326.77</v>
      </c>
    </row>
    <row r="791" spans="1:10" x14ac:dyDescent="0.25">
      <c r="B791" s="40" t="s">
        <v>294</v>
      </c>
      <c r="C791" s="40" t="s">
        <v>293</v>
      </c>
      <c r="D791" s="40" t="s">
        <v>502</v>
      </c>
      <c r="E791" s="40" t="s">
        <v>291</v>
      </c>
      <c r="F791" s="40"/>
      <c r="G791" s="40" t="s">
        <v>504</v>
      </c>
      <c r="H791" s="39" t="s">
        <v>289</v>
      </c>
      <c r="I791" s="38">
        <v>158</v>
      </c>
      <c r="J791" s="38">
        <v>5484.77</v>
      </c>
    </row>
    <row r="792" spans="1:10" x14ac:dyDescent="0.25">
      <c r="B792" s="40" t="s">
        <v>294</v>
      </c>
      <c r="C792" s="40" t="s">
        <v>293</v>
      </c>
      <c r="D792" s="40" t="s">
        <v>502</v>
      </c>
      <c r="E792" s="40" t="s">
        <v>291</v>
      </c>
      <c r="F792" s="40"/>
      <c r="G792" s="40" t="s">
        <v>503</v>
      </c>
      <c r="H792" s="39" t="s">
        <v>289</v>
      </c>
      <c r="I792" s="38">
        <v>316.02999999999997</v>
      </c>
      <c r="J792" s="38">
        <v>5800.8</v>
      </c>
    </row>
    <row r="793" spans="1:10" x14ac:dyDescent="0.25">
      <c r="B793" s="40" t="s">
        <v>294</v>
      </c>
      <c r="C793" s="40" t="s">
        <v>293</v>
      </c>
      <c r="D793" s="40" t="s">
        <v>502</v>
      </c>
      <c r="E793" s="40" t="s">
        <v>291</v>
      </c>
      <c r="F793" s="40"/>
      <c r="G793" s="40" t="s">
        <v>503</v>
      </c>
      <c r="H793" s="39" t="s">
        <v>289</v>
      </c>
      <c r="I793" s="38">
        <v>52.67</v>
      </c>
      <c r="J793" s="38">
        <v>5853.47</v>
      </c>
    </row>
    <row r="794" spans="1:10" x14ac:dyDescent="0.25">
      <c r="B794" s="40" t="s">
        <v>294</v>
      </c>
      <c r="C794" s="40" t="s">
        <v>293</v>
      </c>
      <c r="D794" s="40" t="s">
        <v>502</v>
      </c>
      <c r="E794" s="40" t="s">
        <v>291</v>
      </c>
      <c r="F794" s="40"/>
      <c r="G794" s="40" t="s">
        <v>503</v>
      </c>
      <c r="H794" s="39" t="s">
        <v>289</v>
      </c>
      <c r="I794" s="38">
        <v>52.67</v>
      </c>
      <c r="J794" s="38">
        <v>5906.14</v>
      </c>
    </row>
    <row r="795" spans="1:10" x14ac:dyDescent="0.25">
      <c r="B795" s="40" t="s">
        <v>294</v>
      </c>
      <c r="C795" s="40" t="s">
        <v>293</v>
      </c>
      <c r="D795" s="40" t="s">
        <v>502</v>
      </c>
      <c r="E795" s="40" t="s">
        <v>291</v>
      </c>
      <c r="F795" s="40"/>
      <c r="G795" s="40" t="s">
        <v>503</v>
      </c>
      <c r="H795" s="39" t="s">
        <v>289</v>
      </c>
      <c r="I795" s="38">
        <v>52.67</v>
      </c>
      <c r="J795" s="38">
        <v>5958.81</v>
      </c>
    </row>
    <row r="796" spans="1:10" x14ac:dyDescent="0.25">
      <c r="B796" s="40" t="s">
        <v>294</v>
      </c>
      <c r="C796" s="40" t="s">
        <v>293</v>
      </c>
      <c r="D796" s="40" t="s">
        <v>502</v>
      </c>
      <c r="E796" s="40" t="s">
        <v>291</v>
      </c>
      <c r="F796" s="40"/>
      <c r="G796" s="40" t="s">
        <v>503</v>
      </c>
      <c r="H796" s="39" t="s">
        <v>289</v>
      </c>
      <c r="I796" s="38">
        <v>52.67</v>
      </c>
      <c r="J796" s="38">
        <v>6011.48</v>
      </c>
    </row>
    <row r="797" spans="1:10" x14ac:dyDescent="0.25">
      <c r="B797" s="40" t="s">
        <v>294</v>
      </c>
      <c r="C797" s="40" t="s">
        <v>293</v>
      </c>
      <c r="D797" s="40" t="s">
        <v>502</v>
      </c>
      <c r="E797" s="40" t="s">
        <v>291</v>
      </c>
      <c r="F797" s="40"/>
      <c r="G797" s="40" t="s">
        <v>311</v>
      </c>
      <c r="H797" s="39" t="s">
        <v>289</v>
      </c>
      <c r="I797" s="38">
        <v>62.06</v>
      </c>
      <c r="J797" s="38">
        <v>6073.54</v>
      </c>
    </row>
    <row r="798" spans="1:10" x14ac:dyDescent="0.25">
      <c r="B798" s="40" t="s">
        <v>294</v>
      </c>
      <c r="C798" s="40" t="s">
        <v>293</v>
      </c>
      <c r="D798" s="40" t="s">
        <v>502</v>
      </c>
      <c r="E798" s="40" t="s">
        <v>291</v>
      </c>
      <c r="F798" s="40"/>
      <c r="G798" s="40" t="s">
        <v>311</v>
      </c>
      <c r="H798" s="39" t="s">
        <v>289</v>
      </c>
      <c r="I798" s="38">
        <v>124.11</v>
      </c>
      <c r="J798" s="38">
        <v>6197.65</v>
      </c>
    </row>
    <row r="799" spans="1:10" x14ac:dyDescent="0.25">
      <c r="B799" s="40" t="s">
        <v>294</v>
      </c>
      <c r="C799" s="40" t="s">
        <v>293</v>
      </c>
      <c r="D799" s="40" t="s">
        <v>502</v>
      </c>
      <c r="E799" s="40" t="s">
        <v>291</v>
      </c>
      <c r="F799" s="40"/>
      <c r="G799" s="40"/>
      <c r="H799" s="39" t="s">
        <v>289</v>
      </c>
      <c r="I799" s="38">
        <v>-1469.7</v>
      </c>
      <c r="J799" s="38">
        <v>4727.95</v>
      </c>
    </row>
    <row r="800" spans="1:10" x14ac:dyDescent="0.25">
      <c r="A800" s="24" t="s">
        <v>512</v>
      </c>
      <c r="I800" s="37">
        <v>1469.71</v>
      </c>
    </row>
    <row r="801" spans="1:10" x14ac:dyDescent="0.25">
      <c r="A801" s="24" t="s">
        <v>511</v>
      </c>
    </row>
    <row r="802" spans="1:10" x14ac:dyDescent="0.25">
      <c r="B802" s="40" t="s">
        <v>301</v>
      </c>
      <c r="J802" s="38">
        <v>83163.039999999994</v>
      </c>
    </row>
    <row r="803" spans="1:10" x14ac:dyDescent="0.25">
      <c r="B803" s="40" t="s">
        <v>412</v>
      </c>
      <c r="C803" s="40" t="s">
        <v>293</v>
      </c>
      <c r="D803" s="40" t="s">
        <v>317</v>
      </c>
      <c r="E803" s="40" t="s">
        <v>291</v>
      </c>
      <c r="F803" s="40"/>
      <c r="G803" s="40" t="s">
        <v>510</v>
      </c>
      <c r="H803" s="39" t="s">
        <v>289</v>
      </c>
      <c r="I803" s="38">
        <v>-8285.25</v>
      </c>
      <c r="J803" s="38">
        <v>74877.789999999994</v>
      </c>
    </row>
    <row r="804" spans="1:10" x14ac:dyDescent="0.25">
      <c r="B804" s="40" t="s">
        <v>412</v>
      </c>
      <c r="C804" s="40" t="s">
        <v>293</v>
      </c>
      <c r="D804" s="40" t="s">
        <v>317</v>
      </c>
      <c r="E804" s="40" t="s">
        <v>291</v>
      </c>
      <c r="F804" s="40"/>
      <c r="G804" s="40" t="s">
        <v>509</v>
      </c>
      <c r="H804" s="39" t="s">
        <v>289</v>
      </c>
      <c r="I804" s="38">
        <v>8285.25</v>
      </c>
      <c r="J804" s="38">
        <v>83163.039999999994</v>
      </c>
    </row>
    <row r="805" spans="1:10" x14ac:dyDescent="0.25">
      <c r="B805" s="40" t="s">
        <v>337</v>
      </c>
      <c r="C805" s="40" t="s">
        <v>293</v>
      </c>
      <c r="D805" s="40" t="s">
        <v>317</v>
      </c>
      <c r="E805" s="40" t="s">
        <v>291</v>
      </c>
      <c r="F805" s="40"/>
      <c r="G805" s="40" t="s">
        <v>510</v>
      </c>
      <c r="H805" s="39" t="s">
        <v>289</v>
      </c>
      <c r="I805" s="38">
        <v>-8285.25</v>
      </c>
      <c r="J805" s="38">
        <v>74877.789999999994</v>
      </c>
    </row>
    <row r="806" spans="1:10" x14ac:dyDescent="0.25">
      <c r="B806" s="40" t="s">
        <v>337</v>
      </c>
      <c r="C806" s="40" t="s">
        <v>293</v>
      </c>
      <c r="D806" s="40" t="s">
        <v>317</v>
      </c>
      <c r="E806" s="40" t="s">
        <v>291</v>
      </c>
      <c r="F806" s="40"/>
      <c r="G806" s="40" t="s">
        <v>509</v>
      </c>
      <c r="H806" s="39" t="s">
        <v>289</v>
      </c>
      <c r="I806" s="38">
        <v>8285.25</v>
      </c>
      <c r="J806" s="38">
        <v>83163.039999999994</v>
      </c>
    </row>
    <row r="807" spans="1:10" x14ac:dyDescent="0.25">
      <c r="B807" s="40" t="s">
        <v>337</v>
      </c>
      <c r="C807" s="40" t="s">
        <v>325</v>
      </c>
      <c r="D807" s="40" t="s">
        <v>508</v>
      </c>
      <c r="E807" s="40" t="s">
        <v>291</v>
      </c>
      <c r="F807" s="40" t="s">
        <v>507</v>
      </c>
      <c r="G807" s="40" t="s">
        <v>506</v>
      </c>
      <c r="H807" s="40" t="s">
        <v>47</v>
      </c>
      <c r="I807" s="38">
        <v>18233.099999999999</v>
      </c>
      <c r="J807" s="38">
        <v>101396.14</v>
      </c>
    </row>
    <row r="808" spans="1:10" x14ac:dyDescent="0.25">
      <c r="B808" s="40" t="s">
        <v>294</v>
      </c>
      <c r="C808" s="40" t="s">
        <v>293</v>
      </c>
      <c r="D808" s="40" t="s">
        <v>502</v>
      </c>
      <c r="E808" s="40" t="s">
        <v>291</v>
      </c>
      <c r="F808" s="40"/>
      <c r="G808" s="40" t="s">
        <v>311</v>
      </c>
      <c r="H808" s="39" t="s">
        <v>289</v>
      </c>
      <c r="I808" s="38">
        <v>662.82</v>
      </c>
      <c r="J808" s="38">
        <v>102058.96</v>
      </c>
    </row>
    <row r="809" spans="1:10" x14ac:dyDescent="0.25">
      <c r="B809" s="40" t="s">
        <v>294</v>
      </c>
      <c r="C809" s="40" t="s">
        <v>293</v>
      </c>
      <c r="D809" s="40" t="s">
        <v>502</v>
      </c>
      <c r="E809" s="40" t="s">
        <v>291</v>
      </c>
      <c r="F809" s="40"/>
      <c r="G809" s="40" t="s">
        <v>309</v>
      </c>
      <c r="H809" s="39" t="s">
        <v>289</v>
      </c>
      <c r="I809" s="38">
        <v>1325.65</v>
      </c>
      <c r="J809" s="38">
        <v>103384.61</v>
      </c>
    </row>
    <row r="810" spans="1:10" x14ac:dyDescent="0.25">
      <c r="B810" s="40" t="s">
        <v>294</v>
      </c>
      <c r="C810" s="40" t="s">
        <v>293</v>
      </c>
      <c r="D810" s="40" t="s">
        <v>502</v>
      </c>
      <c r="E810" s="40" t="s">
        <v>291</v>
      </c>
      <c r="F810" s="40"/>
      <c r="G810" s="40" t="s">
        <v>309</v>
      </c>
      <c r="H810" s="39" t="s">
        <v>289</v>
      </c>
      <c r="I810" s="38">
        <v>331.41</v>
      </c>
      <c r="J810" s="38">
        <v>103716.02</v>
      </c>
    </row>
    <row r="811" spans="1:10" x14ac:dyDescent="0.25">
      <c r="B811" s="40" t="s">
        <v>294</v>
      </c>
      <c r="C811" s="40" t="s">
        <v>293</v>
      </c>
      <c r="D811" s="40" t="s">
        <v>502</v>
      </c>
      <c r="E811" s="40" t="s">
        <v>291</v>
      </c>
      <c r="F811" s="40"/>
      <c r="G811" s="40" t="s">
        <v>309</v>
      </c>
      <c r="H811" s="39" t="s">
        <v>289</v>
      </c>
      <c r="I811" s="38">
        <v>1325.64</v>
      </c>
      <c r="J811" s="38">
        <v>105041.66</v>
      </c>
    </row>
    <row r="812" spans="1:10" x14ac:dyDescent="0.25">
      <c r="B812" s="40" t="s">
        <v>294</v>
      </c>
      <c r="C812" s="40" t="s">
        <v>293</v>
      </c>
      <c r="D812" s="40" t="s">
        <v>502</v>
      </c>
      <c r="E812" s="40" t="s">
        <v>291</v>
      </c>
      <c r="F812" s="40"/>
      <c r="G812" s="40" t="s">
        <v>311</v>
      </c>
      <c r="H812" s="39" t="s">
        <v>289</v>
      </c>
      <c r="I812" s="38">
        <v>1325.64</v>
      </c>
      <c r="J812" s="38">
        <v>106367.3</v>
      </c>
    </row>
    <row r="813" spans="1:10" x14ac:dyDescent="0.25">
      <c r="B813" s="40" t="s">
        <v>294</v>
      </c>
      <c r="C813" s="40" t="s">
        <v>293</v>
      </c>
      <c r="D813" s="40" t="s">
        <v>502</v>
      </c>
      <c r="E813" s="40" t="s">
        <v>291</v>
      </c>
      <c r="F813" s="40"/>
      <c r="G813" s="40" t="s">
        <v>311</v>
      </c>
      <c r="H813" s="39" t="s">
        <v>289</v>
      </c>
      <c r="I813" s="38">
        <v>1325.64</v>
      </c>
      <c r="J813" s="38">
        <v>107692.94</v>
      </c>
    </row>
    <row r="814" spans="1:10" x14ac:dyDescent="0.25">
      <c r="B814" s="40" t="s">
        <v>294</v>
      </c>
      <c r="C814" s="40" t="s">
        <v>293</v>
      </c>
      <c r="D814" s="40" t="s">
        <v>502</v>
      </c>
      <c r="E814" s="40" t="s">
        <v>291</v>
      </c>
      <c r="F814" s="40"/>
      <c r="G814" s="40" t="s">
        <v>505</v>
      </c>
      <c r="H814" s="39" t="s">
        <v>289</v>
      </c>
      <c r="I814" s="38">
        <v>1491.34</v>
      </c>
      <c r="J814" s="38">
        <v>109184.28</v>
      </c>
    </row>
    <row r="815" spans="1:10" x14ac:dyDescent="0.25">
      <c r="B815" s="40" t="s">
        <v>294</v>
      </c>
      <c r="C815" s="40" t="s">
        <v>293</v>
      </c>
      <c r="D815" s="40" t="s">
        <v>502</v>
      </c>
      <c r="E815" s="40" t="s">
        <v>291</v>
      </c>
      <c r="F815" s="40"/>
      <c r="G815" s="40" t="s">
        <v>505</v>
      </c>
      <c r="H815" s="39" t="s">
        <v>289</v>
      </c>
      <c r="I815" s="38">
        <v>331.41</v>
      </c>
      <c r="J815" s="38">
        <v>109515.69</v>
      </c>
    </row>
    <row r="816" spans="1:10" x14ac:dyDescent="0.25">
      <c r="B816" s="40" t="s">
        <v>294</v>
      </c>
      <c r="C816" s="40" t="s">
        <v>293</v>
      </c>
      <c r="D816" s="40" t="s">
        <v>502</v>
      </c>
      <c r="E816" s="40" t="s">
        <v>291</v>
      </c>
      <c r="F816" s="40"/>
      <c r="G816" s="40" t="s">
        <v>505</v>
      </c>
      <c r="H816" s="39" t="s">
        <v>289</v>
      </c>
      <c r="I816" s="38">
        <v>1491.35</v>
      </c>
      <c r="J816" s="38">
        <v>111007.03999999999</v>
      </c>
    </row>
    <row r="817" spans="1:10" x14ac:dyDescent="0.25">
      <c r="B817" s="40" t="s">
        <v>294</v>
      </c>
      <c r="C817" s="40" t="s">
        <v>293</v>
      </c>
      <c r="D817" s="40" t="s">
        <v>502</v>
      </c>
      <c r="E817" s="40" t="s">
        <v>291</v>
      </c>
      <c r="F817" s="40"/>
      <c r="G817" s="40" t="s">
        <v>504</v>
      </c>
      <c r="H817" s="39" t="s">
        <v>289</v>
      </c>
      <c r="I817" s="38">
        <v>1657.05</v>
      </c>
      <c r="J817" s="38">
        <v>112664.09</v>
      </c>
    </row>
    <row r="818" spans="1:10" x14ac:dyDescent="0.25">
      <c r="B818" s="40" t="s">
        <v>294</v>
      </c>
      <c r="C818" s="40" t="s">
        <v>293</v>
      </c>
      <c r="D818" s="40" t="s">
        <v>502</v>
      </c>
      <c r="E818" s="40" t="s">
        <v>291</v>
      </c>
      <c r="F818" s="40"/>
      <c r="G818" s="40" t="s">
        <v>504</v>
      </c>
      <c r="H818" s="39" t="s">
        <v>289</v>
      </c>
      <c r="I818" s="38">
        <v>1657.05</v>
      </c>
      <c r="J818" s="38">
        <v>114321.14</v>
      </c>
    </row>
    <row r="819" spans="1:10" x14ac:dyDescent="0.25">
      <c r="B819" s="40" t="s">
        <v>294</v>
      </c>
      <c r="C819" s="40" t="s">
        <v>293</v>
      </c>
      <c r="D819" s="40" t="s">
        <v>502</v>
      </c>
      <c r="E819" s="40" t="s">
        <v>291</v>
      </c>
      <c r="F819" s="40"/>
      <c r="G819" s="40" t="s">
        <v>503</v>
      </c>
      <c r="H819" s="39" t="s">
        <v>289</v>
      </c>
      <c r="I819" s="38">
        <v>331.41</v>
      </c>
      <c r="J819" s="38">
        <v>114652.55</v>
      </c>
    </row>
    <row r="820" spans="1:10" x14ac:dyDescent="0.25">
      <c r="B820" s="40" t="s">
        <v>294</v>
      </c>
      <c r="C820" s="40" t="s">
        <v>293</v>
      </c>
      <c r="D820" s="40" t="s">
        <v>502</v>
      </c>
      <c r="E820" s="40" t="s">
        <v>291</v>
      </c>
      <c r="F820" s="40"/>
      <c r="G820" s="40" t="s">
        <v>503</v>
      </c>
      <c r="H820" s="39" t="s">
        <v>289</v>
      </c>
      <c r="I820" s="38">
        <v>331.41</v>
      </c>
      <c r="J820" s="38">
        <v>114983.96</v>
      </c>
    </row>
    <row r="821" spans="1:10" x14ac:dyDescent="0.25">
      <c r="B821" s="40" t="s">
        <v>294</v>
      </c>
      <c r="C821" s="40" t="s">
        <v>293</v>
      </c>
      <c r="D821" s="40" t="s">
        <v>502</v>
      </c>
      <c r="E821" s="40" t="s">
        <v>291</v>
      </c>
      <c r="F821" s="40"/>
      <c r="G821" s="40" t="s">
        <v>503</v>
      </c>
      <c r="H821" s="39" t="s">
        <v>289</v>
      </c>
      <c r="I821" s="38">
        <v>331.41</v>
      </c>
      <c r="J821" s="38">
        <v>115315.37</v>
      </c>
    </row>
    <row r="822" spans="1:10" x14ac:dyDescent="0.25">
      <c r="B822" s="40" t="s">
        <v>294</v>
      </c>
      <c r="C822" s="40" t="s">
        <v>293</v>
      </c>
      <c r="D822" s="40" t="s">
        <v>502</v>
      </c>
      <c r="E822" s="40" t="s">
        <v>291</v>
      </c>
      <c r="F822" s="40"/>
      <c r="G822" s="40" t="s">
        <v>503</v>
      </c>
      <c r="H822" s="39" t="s">
        <v>289</v>
      </c>
      <c r="I822" s="38">
        <v>331.41</v>
      </c>
      <c r="J822" s="38">
        <v>115646.78</v>
      </c>
    </row>
    <row r="823" spans="1:10" x14ac:dyDescent="0.25">
      <c r="B823" s="40" t="s">
        <v>294</v>
      </c>
      <c r="C823" s="40" t="s">
        <v>293</v>
      </c>
      <c r="D823" s="40" t="s">
        <v>502</v>
      </c>
      <c r="E823" s="40" t="s">
        <v>291</v>
      </c>
      <c r="F823" s="40"/>
      <c r="G823" s="40" t="s">
        <v>503</v>
      </c>
      <c r="H823" s="39" t="s">
        <v>289</v>
      </c>
      <c r="I823" s="38">
        <v>1988.45</v>
      </c>
      <c r="J823" s="38">
        <v>117635.23</v>
      </c>
    </row>
    <row r="824" spans="1:10" x14ac:dyDescent="0.25">
      <c r="B824" s="40" t="s">
        <v>294</v>
      </c>
      <c r="C824" s="40" t="s">
        <v>293</v>
      </c>
      <c r="D824" s="40" t="s">
        <v>502</v>
      </c>
      <c r="E824" s="40" t="s">
        <v>291</v>
      </c>
      <c r="F824" s="40"/>
      <c r="G824" s="40"/>
      <c r="H824" s="39" t="s">
        <v>289</v>
      </c>
      <c r="I824" s="38">
        <v>-1662.6</v>
      </c>
      <c r="J824" s="38">
        <v>115972.63</v>
      </c>
    </row>
    <row r="825" spans="1:10" x14ac:dyDescent="0.25">
      <c r="B825" s="40" t="s">
        <v>294</v>
      </c>
      <c r="C825" s="40" t="s">
        <v>293</v>
      </c>
      <c r="D825" s="40" t="s">
        <v>502</v>
      </c>
      <c r="E825" s="40" t="s">
        <v>291</v>
      </c>
      <c r="F825" s="40"/>
      <c r="G825" s="40"/>
      <c r="H825" s="39" t="s">
        <v>289</v>
      </c>
      <c r="I825" s="38">
        <v>1662.6</v>
      </c>
      <c r="J825" s="38">
        <v>117635.23</v>
      </c>
    </row>
    <row r="826" spans="1:10" x14ac:dyDescent="0.25">
      <c r="B826" s="40" t="s">
        <v>294</v>
      </c>
      <c r="C826" s="40" t="s">
        <v>293</v>
      </c>
      <c r="D826" s="40" t="s">
        <v>502</v>
      </c>
      <c r="E826" s="40" t="s">
        <v>291</v>
      </c>
      <c r="F826" s="40"/>
      <c r="G826" s="40"/>
      <c r="H826" s="39" t="s">
        <v>289</v>
      </c>
      <c r="I826" s="38">
        <v>-16570.5</v>
      </c>
      <c r="J826" s="38">
        <v>101064.73</v>
      </c>
    </row>
    <row r="827" spans="1:10" x14ac:dyDescent="0.25">
      <c r="B827" s="40" t="s">
        <v>294</v>
      </c>
      <c r="C827" s="40" t="s">
        <v>293</v>
      </c>
      <c r="D827" s="40" t="s">
        <v>502</v>
      </c>
      <c r="E827" s="40" t="s">
        <v>291</v>
      </c>
      <c r="F827" s="40"/>
      <c r="G827" s="40" t="s">
        <v>309</v>
      </c>
      <c r="H827" s="39" t="s">
        <v>289</v>
      </c>
      <c r="I827" s="38">
        <v>331.42</v>
      </c>
      <c r="J827" s="38">
        <v>101396.15</v>
      </c>
    </row>
    <row r="828" spans="1:10" x14ac:dyDescent="0.25">
      <c r="A828" s="24" t="s">
        <v>501</v>
      </c>
      <c r="I828" s="37">
        <v>18233.11</v>
      </c>
    </row>
    <row r="829" spans="1:10" x14ac:dyDescent="0.25">
      <c r="A829" s="24" t="s">
        <v>153</v>
      </c>
      <c r="I829" s="37">
        <v>58267.31</v>
      </c>
    </row>
    <row r="830" spans="1:10" x14ac:dyDescent="0.25">
      <c r="A830" s="24" t="s">
        <v>152</v>
      </c>
    </row>
    <row r="831" spans="1:10" x14ac:dyDescent="0.25">
      <c r="A831" s="24" t="s">
        <v>500</v>
      </c>
    </row>
    <row r="832" spans="1:10" x14ac:dyDescent="0.25">
      <c r="B832" s="40" t="s">
        <v>301</v>
      </c>
      <c r="J832" s="38">
        <v>8600</v>
      </c>
    </row>
    <row r="833" spans="1:10" x14ac:dyDescent="0.25">
      <c r="B833" s="40" t="s">
        <v>298</v>
      </c>
      <c r="C833" s="40" t="s">
        <v>306</v>
      </c>
      <c r="D833" s="40"/>
      <c r="E833" s="40" t="s">
        <v>291</v>
      </c>
      <c r="F833" s="40" t="s">
        <v>499</v>
      </c>
      <c r="G833" s="40" t="s">
        <v>498</v>
      </c>
      <c r="H833" s="40" t="s">
        <v>9</v>
      </c>
      <c r="I833" s="38">
        <v>1720</v>
      </c>
      <c r="J833" s="38">
        <v>10320</v>
      </c>
    </row>
    <row r="834" spans="1:10" x14ac:dyDescent="0.25">
      <c r="B834" s="40" t="s">
        <v>418</v>
      </c>
      <c r="C834" s="40" t="s">
        <v>325</v>
      </c>
      <c r="D834" s="40">
        <v>130886</v>
      </c>
      <c r="E834" s="40" t="s">
        <v>291</v>
      </c>
      <c r="F834" s="40" t="s">
        <v>497</v>
      </c>
      <c r="G834" s="40" t="s">
        <v>496</v>
      </c>
      <c r="H834" s="40" t="s">
        <v>47</v>
      </c>
      <c r="I834" s="38">
        <v>17050</v>
      </c>
      <c r="J834" s="38">
        <v>27370</v>
      </c>
    </row>
    <row r="835" spans="1:10" x14ac:dyDescent="0.25">
      <c r="A835" s="24" t="s">
        <v>495</v>
      </c>
      <c r="I835" s="37">
        <v>18770</v>
      </c>
    </row>
    <row r="836" spans="1:10" x14ac:dyDescent="0.25">
      <c r="A836" s="24" t="s">
        <v>494</v>
      </c>
    </row>
    <row r="837" spans="1:10" x14ac:dyDescent="0.25">
      <c r="B837" s="40" t="s">
        <v>301</v>
      </c>
      <c r="J837" s="38">
        <v>6082.5</v>
      </c>
    </row>
    <row r="838" spans="1:10" x14ac:dyDescent="0.25">
      <c r="B838" s="40" t="s">
        <v>351</v>
      </c>
      <c r="C838" s="40" t="s">
        <v>325</v>
      </c>
      <c r="D838" s="40" t="s">
        <v>493</v>
      </c>
      <c r="E838" s="40" t="s">
        <v>291</v>
      </c>
      <c r="F838" s="40" t="s">
        <v>492</v>
      </c>
      <c r="G838" s="40" t="s">
        <v>491</v>
      </c>
      <c r="H838" s="40" t="s">
        <v>47</v>
      </c>
      <c r="I838" s="38">
        <v>500</v>
      </c>
      <c r="J838" s="38">
        <v>6582.5</v>
      </c>
    </row>
    <row r="839" spans="1:10" x14ac:dyDescent="0.25">
      <c r="B839" s="40" t="s">
        <v>310</v>
      </c>
      <c r="C839" s="40" t="s">
        <v>325</v>
      </c>
      <c r="D839" s="40">
        <v>128</v>
      </c>
      <c r="E839" s="40" t="s">
        <v>291</v>
      </c>
      <c r="F839" s="40" t="s">
        <v>490</v>
      </c>
      <c r="G839" s="40" t="s">
        <v>489</v>
      </c>
      <c r="H839" s="40" t="s">
        <v>47</v>
      </c>
      <c r="I839" s="38">
        <v>2000</v>
      </c>
      <c r="J839" s="38">
        <v>8582.5</v>
      </c>
    </row>
    <row r="840" spans="1:10" ht="23.25" x14ac:dyDescent="0.25">
      <c r="B840" s="40" t="s">
        <v>326</v>
      </c>
      <c r="C840" s="40" t="s">
        <v>325</v>
      </c>
      <c r="D840" s="40" t="s">
        <v>488</v>
      </c>
      <c r="E840" s="40" t="s">
        <v>291</v>
      </c>
      <c r="F840" s="40" t="s">
        <v>487</v>
      </c>
      <c r="G840" s="40" t="s">
        <v>486</v>
      </c>
      <c r="H840" s="40" t="s">
        <v>47</v>
      </c>
      <c r="I840" s="38">
        <v>1282.5</v>
      </c>
      <c r="J840" s="38">
        <v>9865</v>
      </c>
    </row>
    <row r="841" spans="1:10" x14ac:dyDescent="0.25">
      <c r="B841" s="40" t="s">
        <v>294</v>
      </c>
      <c r="C841" s="40" t="s">
        <v>293</v>
      </c>
      <c r="D841" s="40" t="s">
        <v>292</v>
      </c>
      <c r="E841" s="40" t="s">
        <v>291</v>
      </c>
      <c r="F841" s="40"/>
      <c r="G841" s="40" t="s">
        <v>290</v>
      </c>
      <c r="H841" s="39" t="s">
        <v>289</v>
      </c>
      <c r="I841" s="38">
        <v>-400</v>
      </c>
      <c r="J841" s="38">
        <v>9465</v>
      </c>
    </row>
    <row r="842" spans="1:10" x14ac:dyDescent="0.25">
      <c r="A842" s="24" t="s">
        <v>485</v>
      </c>
      <c r="I842" s="37">
        <v>3382.5</v>
      </c>
    </row>
    <row r="843" spans="1:10" x14ac:dyDescent="0.25">
      <c r="A843" s="24" t="s">
        <v>484</v>
      </c>
    </row>
    <row r="844" spans="1:10" x14ac:dyDescent="0.25">
      <c r="B844" s="40" t="s">
        <v>301</v>
      </c>
      <c r="J844" s="38">
        <v>3350.87</v>
      </c>
    </row>
    <row r="845" spans="1:10" x14ac:dyDescent="0.25">
      <c r="B845" s="40" t="s">
        <v>318</v>
      </c>
      <c r="C845" s="40" t="s">
        <v>306</v>
      </c>
      <c r="D845" s="40"/>
      <c r="E845" s="40" t="s">
        <v>291</v>
      </c>
      <c r="F845" s="40" t="s">
        <v>483</v>
      </c>
      <c r="G845" s="40" t="s">
        <v>482</v>
      </c>
      <c r="H845" s="40" t="s">
        <v>53</v>
      </c>
      <c r="I845" s="38">
        <v>167</v>
      </c>
      <c r="J845" s="38">
        <v>3517.87</v>
      </c>
    </row>
    <row r="846" spans="1:10" x14ac:dyDescent="0.25">
      <c r="B846" s="40" t="s">
        <v>376</v>
      </c>
      <c r="C846" s="40" t="s">
        <v>306</v>
      </c>
      <c r="D846" s="40"/>
      <c r="E846" s="40" t="s">
        <v>291</v>
      </c>
      <c r="F846" s="40" t="s">
        <v>481</v>
      </c>
      <c r="G846" s="40" t="s">
        <v>480</v>
      </c>
      <c r="H846" s="40" t="s">
        <v>9</v>
      </c>
      <c r="I846" s="38">
        <v>495</v>
      </c>
      <c r="J846" s="38">
        <v>4012.87</v>
      </c>
    </row>
    <row r="847" spans="1:10" x14ac:dyDescent="0.25">
      <c r="B847" s="40" t="s">
        <v>362</v>
      </c>
      <c r="C847" s="40" t="s">
        <v>306</v>
      </c>
      <c r="D847" s="40"/>
      <c r="E847" s="40" t="s">
        <v>291</v>
      </c>
      <c r="F847" s="40" t="s">
        <v>481</v>
      </c>
      <c r="G847" s="40" t="s">
        <v>480</v>
      </c>
      <c r="H847" s="40" t="s">
        <v>9</v>
      </c>
      <c r="I847" s="38">
        <v>15</v>
      </c>
      <c r="J847" s="38">
        <v>4027.87</v>
      </c>
    </row>
    <row r="848" spans="1:10" x14ac:dyDescent="0.25">
      <c r="A848" s="24" t="s">
        <v>479</v>
      </c>
      <c r="I848" s="37">
        <v>677</v>
      </c>
    </row>
    <row r="849" spans="1:10" x14ac:dyDescent="0.25">
      <c r="A849" s="24" t="s">
        <v>478</v>
      </c>
    </row>
    <row r="850" spans="1:10" x14ac:dyDescent="0.25">
      <c r="B850" s="40" t="s">
        <v>301</v>
      </c>
      <c r="J850" s="38">
        <v>2000.86</v>
      </c>
    </row>
    <row r="851" spans="1:10" x14ac:dyDescent="0.25">
      <c r="B851" s="40" t="s">
        <v>412</v>
      </c>
      <c r="C851" s="40" t="s">
        <v>306</v>
      </c>
      <c r="D851" s="40"/>
      <c r="E851" s="40" t="s">
        <v>291</v>
      </c>
      <c r="F851" s="40" t="s">
        <v>476</v>
      </c>
      <c r="G851" s="40" t="s">
        <v>311</v>
      </c>
      <c r="H851" s="40" t="s">
        <v>53</v>
      </c>
      <c r="I851" s="38">
        <v>27</v>
      </c>
      <c r="J851" s="38">
        <v>2027.86</v>
      </c>
    </row>
    <row r="852" spans="1:10" x14ac:dyDescent="0.25">
      <c r="B852" s="40" t="s">
        <v>350</v>
      </c>
      <c r="C852" s="40" t="s">
        <v>306</v>
      </c>
      <c r="D852" s="40"/>
      <c r="E852" s="40" t="s">
        <v>291</v>
      </c>
      <c r="F852" s="40" t="s">
        <v>476</v>
      </c>
      <c r="G852" s="40" t="s">
        <v>311</v>
      </c>
      <c r="H852" s="40" t="s">
        <v>53</v>
      </c>
      <c r="I852" s="38">
        <v>19.47</v>
      </c>
      <c r="J852" s="38">
        <v>2047.33</v>
      </c>
    </row>
    <row r="853" spans="1:10" x14ac:dyDescent="0.25">
      <c r="B853" s="40" t="s">
        <v>477</v>
      </c>
      <c r="C853" s="40" t="s">
        <v>306</v>
      </c>
      <c r="D853" s="40"/>
      <c r="E853" s="40" t="s">
        <v>291</v>
      </c>
      <c r="F853" s="40" t="s">
        <v>476</v>
      </c>
      <c r="G853" s="40" t="s">
        <v>311</v>
      </c>
      <c r="H853" s="40" t="s">
        <v>53</v>
      </c>
      <c r="I853" s="38">
        <v>27</v>
      </c>
      <c r="J853" s="38">
        <v>2074.33</v>
      </c>
    </row>
    <row r="854" spans="1:10" x14ac:dyDescent="0.25">
      <c r="B854" s="40" t="s">
        <v>334</v>
      </c>
      <c r="C854" s="40" t="s">
        <v>306</v>
      </c>
      <c r="D854" s="40"/>
      <c r="E854" s="40" t="s">
        <v>291</v>
      </c>
      <c r="F854" s="40" t="s">
        <v>476</v>
      </c>
      <c r="G854" s="40" t="s">
        <v>311</v>
      </c>
      <c r="H854" s="40" t="s">
        <v>53</v>
      </c>
      <c r="I854" s="38">
        <v>27</v>
      </c>
      <c r="J854" s="38">
        <v>2101.33</v>
      </c>
    </row>
    <row r="855" spans="1:10" x14ac:dyDescent="0.25">
      <c r="B855" s="40" t="s">
        <v>371</v>
      </c>
      <c r="C855" s="40" t="s">
        <v>306</v>
      </c>
      <c r="D855" s="40"/>
      <c r="E855" s="40" t="s">
        <v>291</v>
      </c>
      <c r="F855" s="40" t="s">
        <v>476</v>
      </c>
      <c r="G855" s="40" t="s">
        <v>311</v>
      </c>
      <c r="H855" s="40" t="s">
        <v>53</v>
      </c>
      <c r="I855" s="38">
        <v>27</v>
      </c>
      <c r="J855" s="38">
        <v>2128.33</v>
      </c>
    </row>
    <row r="856" spans="1:10" x14ac:dyDescent="0.25">
      <c r="B856" s="40" t="s">
        <v>294</v>
      </c>
      <c r="C856" s="40" t="s">
        <v>306</v>
      </c>
      <c r="D856" s="40"/>
      <c r="E856" s="40" t="s">
        <v>291</v>
      </c>
      <c r="F856" s="40" t="s">
        <v>476</v>
      </c>
      <c r="G856" s="40" t="s">
        <v>311</v>
      </c>
      <c r="H856" s="40" t="s">
        <v>53</v>
      </c>
      <c r="I856" s="38">
        <v>27</v>
      </c>
      <c r="J856" s="38">
        <v>2155.33</v>
      </c>
    </row>
    <row r="857" spans="1:10" x14ac:dyDescent="0.25">
      <c r="A857" s="24" t="s">
        <v>475</v>
      </c>
      <c r="I857" s="37">
        <v>154.47</v>
      </c>
    </row>
    <row r="858" spans="1:10" x14ac:dyDescent="0.25">
      <c r="A858" s="24" t="s">
        <v>147</v>
      </c>
      <c r="I858" s="37">
        <v>22983.97</v>
      </c>
    </row>
    <row r="859" spans="1:10" x14ac:dyDescent="0.25">
      <c r="A859" s="24" t="s">
        <v>146</v>
      </c>
    </row>
    <row r="860" spans="1:10" x14ac:dyDescent="0.25">
      <c r="B860" s="40" t="s">
        <v>474</v>
      </c>
      <c r="J860" s="38">
        <v>3353.45</v>
      </c>
    </row>
    <row r="861" spans="1:10" x14ac:dyDescent="0.25">
      <c r="B861" s="40" t="s">
        <v>346</v>
      </c>
      <c r="C861" s="40" t="s">
        <v>306</v>
      </c>
      <c r="D861" s="40"/>
      <c r="E861" s="40" t="s">
        <v>291</v>
      </c>
      <c r="F861" s="40" t="s">
        <v>473</v>
      </c>
      <c r="G861" s="40" t="s">
        <v>311</v>
      </c>
      <c r="H861" s="40" t="s">
        <v>53</v>
      </c>
      <c r="I861" s="38">
        <v>22</v>
      </c>
      <c r="J861" s="38">
        <v>3375.45</v>
      </c>
    </row>
    <row r="862" spans="1:10" x14ac:dyDescent="0.25">
      <c r="A862" s="24" t="s">
        <v>472</v>
      </c>
      <c r="I862" s="37">
        <v>22</v>
      </c>
    </row>
    <row r="863" spans="1:10" x14ac:dyDescent="0.25">
      <c r="A863" s="24" t="s">
        <v>145</v>
      </c>
    </row>
    <row r="864" spans="1:10" x14ac:dyDescent="0.25">
      <c r="A864" s="24" t="s">
        <v>471</v>
      </c>
    </row>
    <row r="865" spans="1:10" x14ac:dyDescent="0.25">
      <c r="B865" s="40" t="s">
        <v>301</v>
      </c>
      <c r="J865" s="38">
        <v>780</v>
      </c>
    </row>
    <row r="866" spans="1:10" x14ac:dyDescent="0.25">
      <c r="A866" s="24" t="s">
        <v>470</v>
      </c>
      <c r="I866" s="37" t="s">
        <v>299</v>
      </c>
    </row>
    <row r="867" spans="1:10" x14ac:dyDescent="0.25">
      <c r="A867" s="24" t="s">
        <v>469</v>
      </c>
    </row>
    <row r="868" spans="1:10" x14ac:dyDescent="0.25">
      <c r="B868" s="40" t="s">
        <v>301</v>
      </c>
      <c r="J868" s="38">
        <v>20657.03</v>
      </c>
    </row>
    <row r="869" spans="1:10" x14ac:dyDescent="0.25">
      <c r="B869" s="40" t="s">
        <v>298</v>
      </c>
      <c r="C869" s="40" t="s">
        <v>325</v>
      </c>
      <c r="D869" s="40">
        <v>2009020494</v>
      </c>
      <c r="E869" s="40" t="s">
        <v>291</v>
      </c>
      <c r="F869" s="40" t="s">
        <v>468</v>
      </c>
      <c r="G869" s="40" t="s">
        <v>467</v>
      </c>
      <c r="H869" s="40" t="s">
        <v>47</v>
      </c>
      <c r="I869" s="38">
        <v>2767</v>
      </c>
      <c r="J869" s="38">
        <v>23424.03</v>
      </c>
    </row>
    <row r="870" spans="1:10" x14ac:dyDescent="0.25">
      <c r="A870" s="24" t="s">
        <v>466</v>
      </c>
      <c r="I870" s="37">
        <v>2767</v>
      </c>
    </row>
    <row r="871" spans="1:10" x14ac:dyDescent="0.25">
      <c r="A871" s="24" t="s">
        <v>465</v>
      </c>
    </row>
    <row r="872" spans="1:10" x14ac:dyDescent="0.25">
      <c r="B872" s="40" t="s">
        <v>301</v>
      </c>
      <c r="J872" s="38">
        <v>27247.77</v>
      </c>
    </row>
    <row r="873" spans="1:10" x14ac:dyDescent="0.25">
      <c r="B873" s="40" t="s">
        <v>343</v>
      </c>
      <c r="C873" s="40" t="s">
        <v>325</v>
      </c>
      <c r="D873" s="40">
        <v>20260616</v>
      </c>
      <c r="E873" s="40" t="s">
        <v>291</v>
      </c>
      <c r="F873" s="40" t="s">
        <v>464</v>
      </c>
      <c r="G873" s="40" t="s">
        <v>463</v>
      </c>
      <c r="H873" s="40" t="s">
        <v>47</v>
      </c>
      <c r="I873" s="38">
        <v>781.79</v>
      </c>
      <c r="J873" s="38">
        <v>28029.56</v>
      </c>
    </row>
    <row r="874" spans="1:10" x14ac:dyDescent="0.25">
      <c r="B874" s="40" t="s">
        <v>326</v>
      </c>
      <c r="C874" s="40" t="s">
        <v>306</v>
      </c>
      <c r="D874" s="40"/>
      <c r="E874" s="40" t="s">
        <v>291</v>
      </c>
      <c r="F874" s="40" t="s">
        <v>462</v>
      </c>
      <c r="G874" s="40" t="s">
        <v>304</v>
      </c>
      <c r="H874" s="40" t="s">
        <v>53</v>
      </c>
      <c r="I874" s="38">
        <v>2008.58</v>
      </c>
      <c r="J874" s="38">
        <v>30038.14</v>
      </c>
    </row>
    <row r="875" spans="1:10" x14ac:dyDescent="0.25">
      <c r="A875" s="24" t="s">
        <v>461</v>
      </c>
      <c r="I875" s="37">
        <v>2790.37</v>
      </c>
    </row>
    <row r="876" spans="1:10" x14ac:dyDescent="0.25">
      <c r="A876" s="24" t="s">
        <v>460</v>
      </c>
    </row>
    <row r="877" spans="1:10" x14ac:dyDescent="0.25">
      <c r="B877" s="40" t="s">
        <v>301</v>
      </c>
      <c r="J877" s="38">
        <v>7200</v>
      </c>
    </row>
    <row r="878" spans="1:10" x14ac:dyDescent="0.25">
      <c r="B878" s="40" t="s">
        <v>298</v>
      </c>
      <c r="C878" s="40" t="s">
        <v>325</v>
      </c>
      <c r="D878" s="40">
        <v>1743</v>
      </c>
      <c r="E878" s="40" t="s">
        <v>291</v>
      </c>
      <c r="F878" s="40" t="s">
        <v>458</v>
      </c>
      <c r="G878" s="40" t="s">
        <v>459</v>
      </c>
      <c r="H878" s="40" t="s">
        <v>47</v>
      </c>
      <c r="I878" s="38">
        <v>1800</v>
      </c>
      <c r="J878" s="38">
        <v>9000</v>
      </c>
    </row>
    <row r="879" spans="1:10" x14ac:dyDescent="0.25">
      <c r="B879" s="40" t="s">
        <v>337</v>
      </c>
      <c r="C879" s="40" t="s">
        <v>325</v>
      </c>
      <c r="D879" s="40">
        <v>1736</v>
      </c>
      <c r="E879" s="40" t="s">
        <v>291</v>
      </c>
      <c r="F879" s="40" t="s">
        <v>458</v>
      </c>
      <c r="G879" s="40" t="s">
        <v>457</v>
      </c>
      <c r="H879" s="40" t="s">
        <v>47</v>
      </c>
      <c r="I879" s="38">
        <v>1800</v>
      </c>
      <c r="J879" s="38">
        <v>10800</v>
      </c>
    </row>
    <row r="880" spans="1:10" x14ac:dyDescent="0.25">
      <c r="B880" s="40" t="s">
        <v>376</v>
      </c>
      <c r="C880" s="40" t="s">
        <v>359</v>
      </c>
      <c r="D880" s="40"/>
      <c r="E880" s="40" t="s">
        <v>291</v>
      </c>
      <c r="F880" s="40"/>
      <c r="G880" s="40" t="s">
        <v>456</v>
      </c>
      <c r="H880" s="40" t="s">
        <v>9</v>
      </c>
      <c r="I880" s="38">
        <v>4.91</v>
      </c>
      <c r="J880" s="38">
        <v>10804.91</v>
      </c>
    </row>
    <row r="881" spans="1:10" x14ac:dyDescent="0.25">
      <c r="A881" s="24" t="s">
        <v>455</v>
      </c>
      <c r="I881" s="37">
        <v>3604.91</v>
      </c>
    </row>
    <row r="882" spans="1:10" x14ac:dyDescent="0.25">
      <c r="A882" s="24" t="s">
        <v>454</v>
      </c>
    </row>
    <row r="883" spans="1:10" x14ac:dyDescent="0.25">
      <c r="B883" s="40" t="s">
        <v>301</v>
      </c>
      <c r="J883" s="38">
        <v>2135.21</v>
      </c>
    </row>
    <row r="884" spans="1:10" x14ac:dyDescent="0.25">
      <c r="B884" s="40" t="s">
        <v>337</v>
      </c>
      <c r="C884" s="40" t="s">
        <v>306</v>
      </c>
      <c r="D884" s="40"/>
      <c r="E884" s="40" t="s">
        <v>291</v>
      </c>
      <c r="F884" s="40" t="s">
        <v>453</v>
      </c>
      <c r="G884" s="40" t="s">
        <v>304</v>
      </c>
      <c r="H884" s="40" t="s">
        <v>53</v>
      </c>
      <c r="I884" s="38">
        <v>286.75</v>
      </c>
      <c r="J884" s="38">
        <v>2421.96</v>
      </c>
    </row>
    <row r="885" spans="1:10" x14ac:dyDescent="0.25">
      <c r="B885" s="40" t="s">
        <v>376</v>
      </c>
      <c r="C885" s="40" t="s">
        <v>306</v>
      </c>
      <c r="D885" s="40"/>
      <c r="E885" s="40" t="s">
        <v>291</v>
      </c>
      <c r="F885" s="40" t="s">
        <v>452</v>
      </c>
      <c r="G885" s="40" t="s">
        <v>304</v>
      </c>
      <c r="H885" s="40" t="s">
        <v>53</v>
      </c>
      <c r="I885" s="38">
        <v>10</v>
      </c>
      <c r="J885" s="38">
        <v>2431.96</v>
      </c>
    </row>
    <row r="886" spans="1:10" x14ac:dyDescent="0.25">
      <c r="A886" s="24" t="s">
        <v>451</v>
      </c>
      <c r="I886" s="37">
        <v>296.75</v>
      </c>
    </row>
    <row r="887" spans="1:10" x14ac:dyDescent="0.25">
      <c r="A887" s="24" t="s">
        <v>450</v>
      </c>
    </row>
    <row r="888" spans="1:10" x14ac:dyDescent="0.25">
      <c r="B888" s="40" t="s">
        <v>301</v>
      </c>
      <c r="J888" s="38">
        <v>7688.88</v>
      </c>
    </row>
    <row r="889" spans="1:10" x14ac:dyDescent="0.25">
      <c r="B889" s="40" t="s">
        <v>334</v>
      </c>
      <c r="C889" s="40" t="s">
        <v>306</v>
      </c>
      <c r="D889" s="40"/>
      <c r="E889" s="40" t="s">
        <v>291</v>
      </c>
      <c r="F889" s="40" t="s">
        <v>344</v>
      </c>
      <c r="G889" s="40" t="s">
        <v>327</v>
      </c>
      <c r="H889" s="40" t="s">
        <v>53</v>
      </c>
      <c r="I889" s="38">
        <v>39.99</v>
      </c>
      <c r="J889" s="38">
        <v>7728.87</v>
      </c>
    </row>
    <row r="890" spans="1:10" x14ac:dyDescent="0.25">
      <c r="A890" s="24" t="s">
        <v>449</v>
      </c>
      <c r="I890" s="37">
        <v>39.99</v>
      </c>
    </row>
    <row r="891" spans="1:10" x14ac:dyDescent="0.25">
      <c r="A891" s="24" t="s">
        <v>448</v>
      </c>
    </row>
    <row r="892" spans="1:10" x14ac:dyDescent="0.25">
      <c r="B892" s="40" t="s">
        <v>301</v>
      </c>
      <c r="J892" s="38">
        <v>14.12</v>
      </c>
    </row>
    <row r="893" spans="1:10" x14ac:dyDescent="0.25">
      <c r="B893" s="40" t="s">
        <v>337</v>
      </c>
      <c r="C893" s="40" t="s">
        <v>306</v>
      </c>
      <c r="D893" s="40"/>
      <c r="E893" s="40" t="s">
        <v>291</v>
      </c>
      <c r="F893" s="40" t="s">
        <v>447</v>
      </c>
      <c r="G893" s="40" t="s">
        <v>304</v>
      </c>
      <c r="H893" s="40" t="s">
        <v>53</v>
      </c>
      <c r="I893" s="38">
        <v>10.44</v>
      </c>
      <c r="J893" s="38">
        <v>24.56</v>
      </c>
    </row>
    <row r="894" spans="1:10" x14ac:dyDescent="0.25">
      <c r="B894" s="40" t="s">
        <v>322</v>
      </c>
      <c r="C894" s="40" t="s">
        <v>306</v>
      </c>
      <c r="D894" s="40"/>
      <c r="E894" s="40" t="s">
        <v>291</v>
      </c>
      <c r="F894" s="40" t="s">
        <v>447</v>
      </c>
      <c r="G894" s="40" t="s">
        <v>311</v>
      </c>
      <c r="H894" s="40" t="s">
        <v>53</v>
      </c>
      <c r="I894" s="38">
        <v>247.1</v>
      </c>
      <c r="J894" s="38">
        <v>271.66000000000003</v>
      </c>
    </row>
    <row r="895" spans="1:10" x14ac:dyDescent="0.25">
      <c r="A895" s="24" t="s">
        <v>446</v>
      </c>
      <c r="I895" s="37">
        <v>257.54000000000002</v>
      </c>
    </row>
    <row r="896" spans="1:10" x14ac:dyDescent="0.25">
      <c r="A896" s="24" t="s">
        <v>445</v>
      </c>
    </row>
    <row r="897" spans="1:10" x14ac:dyDescent="0.25">
      <c r="B897" s="40" t="s">
        <v>301</v>
      </c>
      <c r="J897" s="38">
        <v>2899.89</v>
      </c>
    </row>
    <row r="898" spans="1:10" x14ac:dyDescent="0.25">
      <c r="B898" s="40" t="s">
        <v>351</v>
      </c>
      <c r="C898" s="40" t="s">
        <v>306</v>
      </c>
      <c r="D898" s="40"/>
      <c r="E898" s="40" t="s">
        <v>291</v>
      </c>
      <c r="F898" s="40" t="s">
        <v>440</v>
      </c>
      <c r="G898" s="40" t="s">
        <v>444</v>
      </c>
      <c r="H898" s="40" t="s">
        <v>53</v>
      </c>
      <c r="I898" s="38">
        <v>139</v>
      </c>
      <c r="J898" s="38">
        <v>3038.89</v>
      </c>
    </row>
    <row r="899" spans="1:10" x14ac:dyDescent="0.25">
      <c r="B899" s="40" t="s">
        <v>351</v>
      </c>
      <c r="C899" s="40" t="s">
        <v>306</v>
      </c>
      <c r="D899" s="40"/>
      <c r="E899" s="40" t="s">
        <v>291</v>
      </c>
      <c r="F899" s="40" t="s">
        <v>443</v>
      </c>
      <c r="G899" s="40" t="s">
        <v>442</v>
      </c>
      <c r="H899" s="40" t="s">
        <v>53</v>
      </c>
      <c r="I899" s="38">
        <v>1030</v>
      </c>
      <c r="J899" s="38">
        <v>4068.89</v>
      </c>
    </row>
    <row r="900" spans="1:10" x14ac:dyDescent="0.25">
      <c r="B900" s="40" t="s">
        <v>351</v>
      </c>
      <c r="C900" s="40" t="s">
        <v>441</v>
      </c>
      <c r="D900" s="40"/>
      <c r="E900" s="40" t="s">
        <v>291</v>
      </c>
      <c r="F900" s="40" t="s">
        <v>440</v>
      </c>
      <c r="G900" s="40" t="s">
        <v>439</v>
      </c>
      <c r="H900" s="40" t="s">
        <v>53</v>
      </c>
      <c r="I900" s="38">
        <v>-14.99</v>
      </c>
      <c r="J900" s="38">
        <v>4053.9</v>
      </c>
    </row>
    <row r="901" spans="1:10" x14ac:dyDescent="0.25">
      <c r="A901" s="24" t="s">
        <v>438</v>
      </c>
      <c r="I901" s="37">
        <v>1154.01</v>
      </c>
    </row>
    <row r="902" spans="1:10" x14ac:dyDescent="0.25">
      <c r="A902" s="24" t="s">
        <v>437</v>
      </c>
    </row>
    <row r="903" spans="1:10" x14ac:dyDescent="0.25">
      <c r="B903" s="40" t="s">
        <v>301</v>
      </c>
      <c r="J903" s="38">
        <v>1452.75</v>
      </c>
    </row>
    <row r="904" spans="1:10" x14ac:dyDescent="0.25">
      <c r="B904" s="40" t="s">
        <v>350</v>
      </c>
      <c r="C904" s="40" t="s">
        <v>325</v>
      </c>
      <c r="D904" s="40">
        <v>42166053</v>
      </c>
      <c r="E904" s="40" t="s">
        <v>291</v>
      </c>
      <c r="F904" s="40" t="s">
        <v>436</v>
      </c>
      <c r="G904" s="40" t="s">
        <v>435</v>
      </c>
      <c r="H904" s="40" t="s">
        <v>47</v>
      </c>
      <c r="I904" s="38">
        <v>292.83</v>
      </c>
      <c r="J904" s="38">
        <v>1745.58</v>
      </c>
    </row>
    <row r="905" spans="1:10" x14ac:dyDescent="0.25">
      <c r="B905" s="40" t="s">
        <v>346</v>
      </c>
      <c r="C905" s="40" t="s">
        <v>325</v>
      </c>
      <c r="D905" s="40">
        <v>66548</v>
      </c>
      <c r="E905" s="40" t="s">
        <v>291</v>
      </c>
      <c r="F905" s="40" t="s">
        <v>434</v>
      </c>
      <c r="G905" s="40" t="s">
        <v>433</v>
      </c>
      <c r="H905" s="40" t="s">
        <v>47</v>
      </c>
      <c r="I905" s="38">
        <v>2169.06</v>
      </c>
      <c r="J905" s="38">
        <v>3914.64</v>
      </c>
    </row>
    <row r="906" spans="1:10" x14ac:dyDescent="0.25">
      <c r="A906" s="24" t="s">
        <v>432</v>
      </c>
      <c r="I906" s="37">
        <v>2461.89</v>
      </c>
    </row>
    <row r="907" spans="1:10" x14ac:dyDescent="0.25">
      <c r="A907" s="24" t="s">
        <v>431</v>
      </c>
    </row>
    <row r="908" spans="1:10" x14ac:dyDescent="0.25">
      <c r="B908" s="40" t="s">
        <v>301</v>
      </c>
      <c r="J908" s="38">
        <v>2006.15</v>
      </c>
    </row>
    <row r="909" spans="1:10" x14ac:dyDescent="0.25">
      <c r="B909" s="40" t="s">
        <v>298</v>
      </c>
      <c r="C909" s="40" t="s">
        <v>359</v>
      </c>
      <c r="D909" s="40"/>
      <c r="E909" s="40" t="s">
        <v>291</v>
      </c>
      <c r="F909" s="40"/>
      <c r="G909" s="40" t="s">
        <v>430</v>
      </c>
      <c r="H909" s="40" t="s">
        <v>9</v>
      </c>
      <c r="I909" s="38">
        <v>21.36</v>
      </c>
      <c r="J909" s="38">
        <v>2027.51</v>
      </c>
    </row>
    <row r="910" spans="1:10" x14ac:dyDescent="0.25">
      <c r="B910" s="40" t="s">
        <v>298</v>
      </c>
      <c r="C910" s="40" t="s">
        <v>359</v>
      </c>
      <c r="D910" s="40"/>
      <c r="E910" s="40" t="s">
        <v>291</v>
      </c>
      <c r="F910" s="40"/>
      <c r="G910" s="40" t="s">
        <v>429</v>
      </c>
      <c r="H910" s="40" t="s">
        <v>9</v>
      </c>
      <c r="I910" s="38">
        <v>10.37</v>
      </c>
      <c r="J910" s="38">
        <v>2037.88</v>
      </c>
    </row>
    <row r="911" spans="1:10" x14ac:dyDescent="0.25">
      <c r="B911" s="40" t="s">
        <v>298</v>
      </c>
      <c r="C911" s="40" t="s">
        <v>359</v>
      </c>
      <c r="D911" s="40"/>
      <c r="E911" s="40" t="s">
        <v>291</v>
      </c>
      <c r="F911" s="40"/>
      <c r="G911" s="40" t="s">
        <v>428</v>
      </c>
      <c r="H911" s="40" t="s">
        <v>9</v>
      </c>
      <c r="I911" s="38">
        <v>7.45</v>
      </c>
      <c r="J911" s="38">
        <v>2045.33</v>
      </c>
    </row>
    <row r="912" spans="1:10" x14ac:dyDescent="0.25">
      <c r="B912" s="40" t="s">
        <v>298</v>
      </c>
      <c r="C912" s="40" t="s">
        <v>359</v>
      </c>
      <c r="D912" s="40"/>
      <c r="E912" s="40" t="s">
        <v>291</v>
      </c>
      <c r="F912" s="40" t="s">
        <v>426</v>
      </c>
      <c r="G912" s="40" t="s">
        <v>427</v>
      </c>
      <c r="H912" s="40" t="s">
        <v>9</v>
      </c>
      <c r="I912" s="38">
        <v>7.85</v>
      </c>
      <c r="J912" s="38">
        <v>2053.1799999999998</v>
      </c>
    </row>
    <row r="913" spans="2:10" x14ac:dyDescent="0.25">
      <c r="B913" s="40" t="s">
        <v>298</v>
      </c>
      <c r="C913" s="40" t="s">
        <v>359</v>
      </c>
      <c r="D913" s="40"/>
      <c r="E913" s="40" t="s">
        <v>291</v>
      </c>
      <c r="F913" s="40" t="s">
        <v>426</v>
      </c>
      <c r="G913" s="40" t="s">
        <v>425</v>
      </c>
      <c r="H913" s="40" t="s">
        <v>9</v>
      </c>
      <c r="I913" s="38">
        <v>11.78</v>
      </c>
      <c r="J913" s="38">
        <v>2064.96</v>
      </c>
    </row>
    <row r="914" spans="2:10" x14ac:dyDescent="0.25">
      <c r="B914" s="40" t="s">
        <v>298</v>
      </c>
      <c r="C914" s="40" t="s">
        <v>306</v>
      </c>
      <c r="D914" s="40"/>
      <c r="E914" s="40" t="s">
        <v>291</v>
      </c>
      <c r="F914" s="40" t="s">
        <v>424</v>
      </c>
      <c r="G914" s="40" t="s">
        <v>423</v>
      </c>
      <c r="H914" s="40" t="s">
        <v>6</v>
      </c>
      <c r="I914" s="38">
        <v>142.84</v>
      </c>
      <c r="J914" s="38">
        <v>2207.8000000000002</v>
      </c>
    </row>
    <row r="915" spans="2:10" x14ac:dyDescent="0.25">
      <c r="B915" s="40" t="s">
        <v>318</v>
      </c>
      <c r="C915" s="40" t="s">
        <v>306</v>
      </c>
      <c r="D915" s="40"/>
      <c r="E915" s="40" t="s">
        <v>291</v>
      </c>
      <c r="F915" s="40" t="s">
        <v>422</v>
      </c>
      <c r="G915" s="40"/>
      <c r="H915" s="40" t="s">
        <v>6</v>
      </c>
      <c r="I915" s="38">
        <v>54.95</v>
      </c>
      <c r="J915" s="38">
        <v>2262.75</v>
      </c>
    </row>
    <row r="916" spans="2:10" x14ac:dyDescent="0.25">
      <c r="B916" s="40" t="s">
        <v>318</v>
      </c>
      <c r="C916" s="40" t="s">
        <v>359</v>
      </c>
      <c r="D916" s="40"/>
      <c r="E916" s="40" t="s">
        <v>291</v>
      </c>
      <c r="F916" s="40"/>
      <c r="G916" s="40" t="s">
        <v>421</v>
      </c>
      <c r="H916" s="40" t="s">
        <v>9</v>
      </c>
      <c r="I916" s="38">
        <v>1.26</v>
      </c>
      <c r="J916" s="38">
        <v>2264.0100000000002</v>
      </c>
    </row>
    <row r="917" spans="2:10" x14ac:dyDescent="0.25">
      <c r="B917" s="40" t="s">
        <v>318</v>
      </c>
      <c r="C917" s="40" t="s">
        <v>359</v>
      </c>
      <c r="D917" s="40"/>
      <c r="E917" s="40" t="s">
        <v>291</v>
      </c>
      <c r="F917" s="40"/>
      <c r="G917" s="40" t="s">
        <v>420</v>
      </c>
      <c r="H917" s="40" t="s">
        <v>9</v>
      </c>
      <c r="I917" s="38">
        <v>11.16</v>
      </c>
      <c r="J917" s="38">
        <v>2275.17</v>
      </c>
    </row>
    <row r="918" spans="2:10" x14ac:dyDescent="0.25">
      <c r="B918" s="40" t="s">
        <v>418</v>
      </c>
      <c r="C918" s="40" t="s">
        <v>359</v>
      </c>
      <c r="D918" s="40"/>
      <c r="E918" s="40" t="s">
        <v>291</v>
      </c>
      <c r="F918" s="40"/>
      <c r="G918" s="40" t="s">
        <v>419</v>
      </c>
      <c r="H918" s="40" t="s">
        <v>9</v>
      </c>
      <c r="I918" s="38">
        <v>5.25</v>
      </c>
      <c r="J918" s="38">
        <v>2280.42</v>
      </c>
    </row>
    <row r="919" spans="2:10" x14ac:dyDescent="0.25">
      <c r="B919" s="40" t="s">
        <v>418</v>
      </c>
      <c r="C919" s="40" t="s">
        <v>359</v>
      </c>
      <c r="D919" s="40"/>
      <c r="E919" s="40" t="s">
        <v>291</v>
      </c>
      <c r="F919" s="40"/>
      <c r="G919" s="40" t="s">
        <v>417</v>
      </c>
      <c r="H919" s="40" t="s">
        <v>9</v>
      </c>
      <c r="I919" s="38">
        <v>2.25</v>
      </c>
      <c r="J919" s="38">
        <v>2282.67</v>
      </c>
    </row>
    <row r="920" spans="2:10" x14ac:dyDescent="0.25">
      <c r="B920" s="40" t="s">
        <v>415</v>
      </c>
      <c r="C920" s="40" t="s">
        <v>359</v>
      </c>
      <c r="D920" s="40"/>
      <c r="E920" s="40" t="s">
        <v>291</v>
      </c>
      <c r="F920" s="40"/>
      <c r="G920" s="40" t="s">
        <v>416</v>
      </c>
      <c r="H920" s="40" t="s">
        <v>9</v>
      </c>
      <c r="I920" s="38">
        <v>4.49</v>
      </c>
      <c r="J920" s="38">
        <v>2287.16</v>
      </c>
    </row>
    <row r="921" spans="2:10" x14ac:dyDescent="0.25">
      <c r="B921" s="40" t="s">
        <v>415</v>
      </c>
      <c r="C921" s="40" t="s">
        <v>359</v>
      </c>
      <c r="D921" s="40"/>
      <c r="E921" s="40" t="s">
        <v>291</v>
      </c>
      <c r="F921" s="40"/>
      <c r="G921" s="40" t="s">
        <v>414</v>
      </c>
      <c r="H921" s="40" t="s">
        <v>9</v>
      </c>
      <c r="I921" s="38">
        <v>3.87</v>
      </c>
      <c r="J921" s="38">
        <v>2291.0300000000002</v>
      </c>
    </row>
    <row r="922" spans="2:10" x14ac:dyDescent="0.25">
      <c r="B922" s="40" t="s">
        <v>412</v>
      </c>
      <c r="C922" s="40" t="s">
        <v>359</v>
      </c>
      <c r="D922" s="40"/>
      <c r="E922" s="40" t="s">
        <v>291</v>
      </c>
      <c r="F922" s="40"/>
      <c r="G922" s="40" t="s">
        <v>413</v>
      </c>
      <c r="H922" s="40" t="s">
        <v>9</v>
      </c>
      <c r="I922" s="38">
        <v>23.56</v>
      </c>
      <c r="J922" s="38">
        <v>2314.59</v>
      </c>
    </row>
    <row r="923" spans="2:10" x14ac:dyDescent="0.25">
      <c r="B923" s="40" t="s">
        <v>412</v>
      </c>
      <c r="C923" s="40" t="s">
        <v>359</v>
      </c>
      <c r="D923" s="40"/>
      <c r="E923" s="40" t="s">
        <v>291</v>
      </c>
      <c r="F923" s="40"/>
      <c r="G923" s="40" t="s">
        <v>411</v>
      </c>
      <c r="H923" s="40" t="s">
        <v>9</v>
      </c>
      <c r="I923" s="38">
        <v>5.6</v>
      </c>
      <c r="J923" s="38">
        <v>2320.19</v>
      </c>
    </row>
    <row r="924" spans="2:10" x14ac:dyDescent="0.25">
      <c r="B924" s="40" t="s">
        <v>351</v>
      </c>
      <c r="C924" s="40" t="s">
        <v>359</v>
      </c>
      <c r="D924" s="40"/>
      <c r="E924" s="40" t="s">
        <v>291</v>
      </c>
      <c r="F924" s="40"/>
      <c r="G924" s="40" t="s">
        <v>410</v>
      </c>
      <c r="H924" s="40" t="s">
        <v>9</v>
      </c>
      <c r="I924" s="38">
        <v>30.15</v>
      </c>
      <c r="J924" s="38">
        <v>2350.34</v>
      </c>
    </row>
    <row r="925" spans="2:10" x14ac:dyDescent="0.25">
      <c r="B925" s="40" t="s">
        <v>351</v>
      </c>
      <c r="C925" s="40" t="s">
        <v>359</v>
      </c>
      <c r="D925" s="40"/>
      <c r="E925" s="40" t="s">
        <v>291</v>
      </c>
      <c r="F925" s="40"/>
      <c r="G925" s="40" t="s">
        <v>409</v>
      </c>
      <c r="H925" s="40" t="s">
        <v>9</v>
      </c>
      <c r="I925" s="38">
        <v>13.96</v>
      </c>
      <c r="J925" s="38">
        <v>2364.3000000000002</v>
      </c>
    </row>
    <row r="926" spans="2:10" x14ac:dyDescent="0.25">
      <c r="B926" s="40" t="s">
        <v>351</v>
      </c>
      <c r="C926" s="40" t="s">
        <v>359</v>
      </c>
      <c r="D926" s="40"/>
      <c r="E926" s="40" t="s">
        <v>291</v>
      </c>
      <c r="F926" s="40"/>
      <c r="G926" s="40" t="s">
        <v>408</v>
      </c>
      <c r="H926" s="40" t="s">
        <v>9</v>
      </c>
      <c r="I926" s="38">
        <v>5.35</v>
      </c>
      <c r="J926" s="38">
        <v>2369.65</v>
      </c>
    </row>
    <row r="927" spans="2:10" x14ac:dyDescent="0.25">
      <c r="B927" s="40" t="s">
        <v>351</v>
      </c>
      <c r="C927" s="40" t="s">
        <v>359</v>
      </c>
      <c r="D927" s="40"/>
      <c r="E927" s="40" t="s">
        <v>291</v>
      </c>
      <c r="F927" s="40"/>
      <c r="G927" s="40" t="s">
        <v>407</v>
      </c>
      <c r="H927" s="40" t="s">
        <v>9</v>
      </c>
      <c r="I927" s="38">
        <v>11.54</v>
      </c>
      <c r="J927" s="38">
        <v>2381.19</v>
      </c>
    </row>
    <row r="928" spans="2:10" x14ac:dyDescent="0.25">
      <c r="B928" s="40" t="s">
        <v>351</v>
      </c>
      <c r="C928" s="40" t="s">
        <v>359</v>
      </c>
      <c r="D928" s="40"/>
      <c r="E928" s="40" t="s">
        <v>291</v>
      </c>
      <c r="F928" s="40"/>
      <c r="G928" s="40" t="s">
        <v>406</v>
      </c>
      <c r="H928" s="40" t="s">
        <v>9</v>
      </c>
      <c r="I928" s="38">
        <v>1.73</v>
      </c>
      <c r="J928" s="38">
        <v>2382.92</v>
      </c>
    </row>
    <row r="929" spans="2:10" x14ac:dyDescent="0.25">
      <c r="B929" s="40" t="s">
        <v>315</v>
      </c>
      <c r="C929" s="40" t="s">
        <v>359</v>
      </c>
      <c r="D929" s="40"/>
      <c r="E929" s="40" t="s">
        <v>291</v>
      </c>
      <c r="F929" s="40"/>
      <c r="G929" s="40" t="s">
        <v>405</v>
      </c>
      <c r="H929" s="40" t="s">
        <v>9</v>
      </c>
      <c r="I929" s="38">
        <v>8.09</v>
      </c>
      <c r="J929" s="38">
        <v>2391.0100000000002</v>
      </c>
    </row>
    <row r="930" spans="2:10" x14ac:dyDescent="0.25">
      <c r="B930" s="40" t="s">
        <v>315</v>
      </c>
      <c r="C930" s="40" t="s">
        <v>359</v>
      </c>
      <c r="D930" s="40"/>
      <c r="E930" s="40" t="s">
        <v>291</v>
      </c>
      <c r="F930" s="40"/>
      <c r="G930" s="40" t="s">
        <v>404</v>
      </c>
      <c r="H930" s="40" t="s">
        <v>9</v>
      </c>
      <c r="I930" s="38">
        <v>6.84</v>
      </c>
      <c r="J930" s="38">
        <v>2397.85</v>
      </c>
    </row>
    <row r="931" spans="2:10" x14ac:dyDescent="0.25">
      <c r="B931" s="40" t="s">
        <v>315</v>
      </c>
      <c r="C931" s="40" t="s">
        <v>306</v>
      </c>
      <c r="D931" s="40"/>
      <c r="E931" s="40" t="s">
        <v>291</v>
      </c>
      <c r="F931" s="40" t="s">
        <v>403</v>
      </c>
      <c r="G931" s="40" t="s">
        <v>402</v>
      </c>
      <c r="H931" s="40" t="s">
        <v>9</v>
      </c>
      <c r="I931" s="38">
        <v>228.46</v>
      </c>
      <c r="J931" s="38">
        <v>2626.31</v>
      </c>
    </row>
    <row r="932" spans="2:10" x14ac:dyDescent="0.25">
      <c r="B932" s="40" t="s">
        <v>350</v>
      </c>
      <c r="C932" s="40" t="s">
        <v>359</v>
      </c>
      <c r="D932" s="40"/>
      <c r="E932" s="40" t="s">
        <v>291</v>
      </c>
      <c r="F932" s="40"/>
      <c r="G932" s="40" t="s">
        <v>401</v>
      </c>
      <c r="H932" s="40" t="s">
        <v>9</v>
      </c>
      <c r="I932" s="38">
        <v>15.17</v>
      </c>
      <c r="J932" s="38">
        <v>2641.48</v>
      </c>
    </row>
    <row r="933" spans="2:10" x14ac:dyDescent="0.25">
      <c r="B933" s="40" t="s">
        <v>350</v>
      </c>
      <c r="C933" s="40" t="s">
        <v>359</v>
      </c>
      <c r="D933" s="40"/>
      <c r="E933" s="40" t="s">
        <v>291</v>
      </c>
      <c r="F933" s="40"/>
      <c r="G933" s="40" t="s">
        <v>400</v>
      </c>
      <c r="H933" s="40" t="s">
        <v>9</v>
      </c>
      <c r="I933" s="38">
        <v>30.67</v>
      </c>
      <c r="J933" s="38">
        <v>2672.15</v>
      </c>
    </row>
    <row r="934" spans="2:10" x14ac:dyDescent="0.25">
      <c r="B934" s="40" t="s">
        <v>346</v>
      </c>
      <c r="C934" s="40" t="s">
        <v>359</v>
      </c>
      <c r="D934" s="40"/>
      <c r="E934" s="40" t="s">
        <v>291</v>
      </c>
      <c r="F934" s="40"/>
      <c r="G934" s="40" t="s">
        <v>399</v>
      </c>
      <c r="H934" s="40" t="s">
        <v>9</v>
      </c>
      <c r="I934" s="38">
        <v>8.4</v>
      </c>
      <c r="J934" s="38">
        <v>2680.55</v>
      </c>
    </row>
    <row r="935" spans="2:10" x14ac:dyDescent="0.25">
      <c r="B935" s="40" t="s">
        <v>346</v>
      </c>
      <c r="C935" s="40" t="s">
        <v>359</v>
      </c>
      <c r="D935" s="40"/>
      <c r="E935" s="40" t="s">
        <v>291</v>
      </c>
      <c r="F935" s="40"/>
      <c r="G935" s="40" t="s">
        <v>398</v>
      </c>
      <c r="H935" s="40" t="s">
        <v>9</v>
      </c>
      <c r="I935" s="38">
        <v>34.64</v>
      </c>
      <c r="J935" s="38">
        <v>2715.19</v>
      </c>
    </row>
    <row r="936" spans="2:10" x14ac:dyDescent="0.25">
      <c r="B936" s="40" t="s">
        <v>345</v>
      </c>
      <c r="C936" s="40" t="s">
        <v>359</v>
      </c>
      <c r="D936" s="40"/>
      <c r="E936" s="40" t="s">
        <v>291</v>
      </c>
      <c r="F936" s="40"/>
      <c r="G936" s="40" t="s">
        <v>397</v>
      </c>
      <c r="H936" s="40" t="s">
        <v>9</v>
      </c>
      <c r="I936" s="38">
        <v>1.65</v>
      </c>
      <c r="J936" s="38">
        <v>2716.84</v>
      </c>
    </row>
    <row r="937" spans="2:10" x14ac:dyDescent="0.25">
      <c r="B937" s="40" t="s">
        <v>345</v>
      </c>
      <c r="C937" s="40" t="s">
        <v>306</v>
      </c>
      <c r="D937" s="40"/>
      <c r="E937" s="40" t="s">
        <v>291</v>
      </c>
      <c r="F937" s="40" t="s">
        <v>396</v>
      </c>
      <c r="G937" s="40"/>
      <c r="H937" s="40" t="s">
        <v>52</v>
      </c>
      <c r="I937" s="38">
        <v>0.71</v>
      </c>
      <c r="J937" s="38">
        <v>2717.55</v>
      </c>
    </row>
    <row r="938" spans="2:10" x14ac:dyDescent="0.25">
      <c r="B938" s="40" t="s">
        <v>345</v>
      </c>
      <c r="C938" s="40" t="s">
        <v>359</v>
      </c>
      <c r="D938" s="40"/>
      <c r="E938" s="40" t="s">
        <v>291</v>
      </c>
      <c r="F938" s="40"/>
      <c r="G938" s="40" t="s">
        <v>395</v>
      </c>
      <c r="H938" s="40" t="s">
        <v>9</v>
      </c>
      <c r="I938" s="38">
        <v>30.37</v>
      </c>
      <c r="J938" s="38">
        <v>2747.92</v>
      </c>
    </row>
    <row r="939" spans="2:10" x14ac:dyDescent="0.25">
      <c r="B939" s="40" t="s">
        <v>310</v>
      </c>
      <c r="C939" s="40" t="s">
        <v>359</v>
      </c>
      <c r="D939" s="40"/>
      <c r="E939" s="40" t="s">
        <v>291</v>
      </c>
      <c r="F939" s="40"/>
      <c r="G939" s="40" t="s">
        <v>394</v>
      </c>
      <c r="H939" s="40" t="s">
        <v>9</v>
      </c>
      <c r="I939" s="38">
        <v>28.8</v>
      </c>
      <c r="J939" s="38">
        <v>2776.72</v>
      </c>
    </row>
    <row r="940" spans="2:10" x14ac:dyDescent="0.25">
      <c r="B940" s="40" t="s">
        <v>310</v>
      </c>
      <c r="C940" s="40" t="s">
        <v>359</v>
      </c>
      <c r="D940" s="40"/>
      <c r="E940" s="40" t="s">
        <v>291</v>
      </c>
      <c r="F940" s="40"/>
      <c r="G940" s="40" t="s">
        <v>393</v>
      </c>
      <c r="H940" s="40" t="s">
        <v>9</v>
      </c>
      <c r="I940" s="38">
        <v>11.4</v>
      </c>
      <c r="J940" s="38">
        <v>2788.12</v>
      </c>
    </row>
    <row r="941" spans="2:10" x14ac:dyDescent="0.25">
      <c r="B941" s="40" t="s">
        <v>310</v>
      </c>
      <c r="C941" s="40" t="s">
        <v>359</v>
      </c>
      <c r="D941" s="40"/>
      <c r="E941" s="40" t="s">
        <v>291</v>
      </c>
      <c r="F941" s="40"/>
      <c r="G941" s="40" t="s">
        <v>392</v>
      </c>
      <c r="H941" s="40" t="s">
        <v>9</v>
      </c>
      <c r="I941" s="38">
        <v>39.01</v>
      </c>
      <c r="J941" s="38">
        <v>2827.13</v>
      </c>
    </row>
    <row r="942" spans="2:10" x14ac:dyDescent="0.25">
      <c r="B942" s="40" t="s">
        <v>310</v>
      </c>
      <c r="C942" s="40" t="s">
        <v>359</v>
      </c>
      <c r="D942" s="40"/>
      <c r="E942" s="40" t="s">
        <v>291</v>
      </c>
      <c r="F942" s="40"/>
      <c r="G942" s="40" t="s">
        <v>391</v>
      </c>
      <c r="H942" s="40" t="s">
        <v>9</v>
      </c>
      <c r="I942" s="38">
        <v>16.3</v>
      </c>
      <c r="J942" s="38">
        <v>2843.43</v>
      </c>
    </row>
    <row r="943" spans="2:10" x14ac:dyDescent="0.25">
      <c r="B943" s="40" t="s">
        <v>310</v>
      </c>
      <c r="C943" s="40" t="s">
        <v>359</v>
      </c>
      <c r="D943" s="40"/>
      <c r="E943" s="40" t="s">
        <v>291</v>
      </c>
      <c r="F943" s="40"/>
      <c r="G943" s="40" t="s">
        <v>390</v>
      </c>
      <c r="H943" s="40" t="s">
        <v>9</v>
      </c>
      <c r="I943" s="38">
        <v>28.42</v>
      </c>
      <c r="J943" s="38">
        <v>2871.85</v>
      </c>
    </row>
    <row r="944" spans="2:10" x14ac:dyDescent="0.25">
      <c r="B944" s="40" t="s">
        <v>343</v>
      </c>
      <c r="C944" s="40" t="s">
        <v>359</v>
      </c>
      <c r="D944" s="40"/>
      <c r="E944" s="40" t="s">
        <v>291</v>
      </c>
      <c r="F944" s="40"/>
      <c r="G944" s="40" t="s">
        <v>389</v>
      </c>
      <c r="H944" s="40" t="s">
        <v>9</v>
      </c>
      <c r="I944" s="38">
        <v>2.83</v>
      </c>
      <c r="J944" s="38">
        <v>2874.68</v>
      </c>
    </row>
    <row r="945" spans="2:10" x14ac:dyDescent="0.25">
      <c r="B945" s="40" t="s">
        <v>343</v>
      </c>
      <c r="C945" s="40" t="s">
        <v>359</v>
      </c>
      <c r="D945" s="40"/>
      <c r="E945" s="40" t="s">
        <v>291</v>
      </c>
      <c r="F945" s="40"/>
      <c r="G945" s="40" t="s">
        <v>388</v>
      </c>
      <c r="H945" s="40" t="s">
        <v>9</v>
      </c>
      <c r="I945" s="38">
        <v>10.49</v>
      </c>
      <c r="J945" s="38">
        <v>2885.17</v>
      </c>
    </row>
    <row r="946" spans="2:10" x14ac:dyDescent="0.25">
      <c r="B946" s="40" t="s">
        <v>339</v>
      </c>
      <c r="C946" s="40" t="s">
        <v>359</v>
      </c>
      <c r="D946" s="40"/>
      <c r="E946" s="40" t="s">
        <v>291</v>
      </c>
      <c r="F946" s="40"/>
      <c r="G946" s="40" t="s">
        <v>387</v>
      </c>
      <c r="H946" s="40" t="s">
        <v>9</v>
      </c>
      <c r="I946" s="38">
        <v>6.53</v>
      </c>
      <c r="J946" s="38">
        <v>2891.7</v>
      </c>
    </row>
    <row r="947" spans="2:10" x14ac:dyDescent="0.25">
      <c r="B947" s="40" t="s">
        <v>339</v>
      </c>
      <c r="C947" s="40" t="s">
        <v>359</v>
      </c>
      <c r="D947" s="40"/>
      <c r="E947" s="40" t="s">
        <v>291</v>
      </c>
      <c r="F947" s="40"/>
      <c r="G947" s="40" t="s">
        <v>386</v>
      </c>
      <c r="H947" s="40" t="s">
        <v>9</v>
      </c>
      <c r="I947" s="38">
        <v>7.55</v>
      </c>
      <c r="J947" s="38">
        <v>2899.25</v>
      </c>
    </row>
    <row r="948" spans="2:10" x14ac:dyDescent="0.25">
      <c r="B948" s="40" t="s">
        <v>337</v>
      </c>
      <c r="C948" s="40" t="s">
        <v>359</v>
      </c>
      <c r="D948" s="40"/>
      <c r="E948" s="40" t="s">
        <v>291</v>
      </c>
      <c r="F948" s="40"/>
      <c r="G948" s="40" t="s">
        <v>385</v>
      </c>
      <c r="H948" s="40" t="s">
        <v>9</v>
      </c>
      <c r="I948" s="38">
        <v>27.47</v>
      </c>
      <c r="J948" s="38">
        <v>2926.72</v>
      </c>
    </row>
    <row r="949" spans="2:10" x14ac:dyDescent="0.25">
      <c r="B949" s="40" t="s">
        <v>337</v>
      </c>
      <c r="C949" s="40" t="s">
        <v>359</v>
      </c>
      <c r="D949" s="40"/>
      <c r="E949" s="40" t="s">
        <v>291</v>
      </c>
      <c r="F949" s="40"/>
      <c r="G949" s="40" t="s">
        <v>384</v>
      </c>
      <c r="H949" s="40" t="s">
        <v>9</v>
      </c>
      <c r="I949" s="38">
        <v>12.03</v>
      </c>
      <c r="J949" s="38">
        <v>2938.75</v>
      </c>
    </row>
    <row r="950" spans="2:10" x14ac:dyDescent="0.25">
      <c r="B950" s="40" t="s">
        <v>326</v>
      </c>
      <c r="C950" s="40" t="s">
        <v>359</v>
      </c>
      <c r="D950" s="40"/>
      <c r="E950" s="40" t="s">
        <v>291</v>
      </c>
      <c r="F950" s="40"/>
      <c r="G950" s="40" t="s">
        <v>383</v>
      </c>
      <c r="H950" s="40" t="s">
        <v>9</v>
      </c>
      <c r="I950" s="38">
        <v>24.56</v>
      </c>
      <c r="J950" s="38">
        <v>2963.31</v>
      </c>
    </row>
    <row r="951" spans="2:10" x14ac:dyDescent="0.25">
      <c r="B951" s="40" t="s">
        <v>326</v>
      </c>
      <c r="C951" s="40" t="s">
        <v>359</v>
      </c>
      <c r="D951" s="40"/>
      <c r="E951" s="40" t="s">
        <v>291</v>
      </c>
      <c r="F951" s="40"/>
      <c r="G951" s="40" t="s">
        <v>382</v>
      </c>
      <c r="H951" s="40" t="s">
        <v>9</v>
      </c>
      <c r="I951" s="38">
        <v>34.83</v>
      </c>
      <c r="J951" s="38">
        <v>2998.14</v>
      </c>
    </row>
    <row r="952" spans="2:10" x14ac:dyDescent="0.25">
      <c r="B952" s="40" t="s">
        <v>326</v>
      </c>
      <c r="C952" s="40" t="s">
        <v>359</v>
      </c>
      <c r="D952" s="40"/>
      <c r="E952" s="40" t="s">
        <v>291</v>
      </c>
      <c r="F952" s="40"/>
      <c r="G952" s="40" t="s">
        <v>381</v>
      </c>
      <c r="H952" s="40" t="s">
        <v>9</v>
      </c>
      <c r="I952" s="38">
        <v>3.81</v>
      </c>
      <c r="J952" s="38">
        <v>3001.95</v>
      </c>
    </row>
    <row r="953" spans="2:10" x14ac:dyDescent="0.25">
      <c r="B953" s="40" t="s">
        <v>326</v>
      </c>
      <c r="C953" s="40" t="s">
        <v>359</v>
      </c>
      <c r="D953" s="40"/>
      <c r="E953" s="40" t="s">
        <v>291</v>
      </c>
      <c r="F953" s="40"/>
      <c r="G953" s="40" t="s">
        <v>380</v>
      </c>
      <c r="H953" s="40" t="s">
        <v>9</v>
      </c>
      <c r="I953" s="38">
        <v>32.090000000000003</v>
      </c>
      <c r="J953" s="38">
        <v>3034.04</v>
      </c>
    </row>
    <row r="954" spans="2:10" x14ac:dyDescent="0.25">
      <c r="B954" s="40" t="s">
        <v>326</v>
      </c>
      <c r="C954" s="40" t="s">
        <v>359</v>
      </c>
      <c r="D954" s="40"/>
      <c r="E954" s="40" t="s">
        <v>291</v>
      </c>
      <c r="F954" s="40"/>
      <c r="G954" s="40" t="s">
        <v>379</v>
      </c>
      <c r="H954" s="40" t="s">
        <v>9</v>
      </c>
      <c r="I954" s="38">
        <v>32.29</v>
      </c>
      <c r="J954" s="38">
        <v>3066.33</v>
      </c>
    </row>
    <row r="955" spans="2:10" x14ac:dyDescent="0.25">
      <c r="B955" s="40" t="s">
        <v>326</v>
      </c>
      <c r="C955" s="40" t="s">
        <v>359</v>
      </c>
      <c r="D955" s="40"/>
      <c r="E955" s="40" t="s">
        <v>291</v>
      </c>
      <c r="F955" s="40"/>
      <c r="G955" s="40" t="s">
        <v>378</v>
      </c>
      <c r="H955" s="40" t="s">
        <v>9</v>
      </c>
      <c r="I955" s="38">
        <v>9.23</v>
      </c>
      <c r="J955" s="38">
        <v>3075.56</v>
      </c>
    </row>
    <row r="956" spans="2:10" x14ac:dyDescent="0.25">
      <c r="B956" s="40" t="s">
        <v>326</v>
      </c>
      <c r="C956" s="40" t="s">
        <v>359</v>
      </c>
      <c r="D956" s="40"/>
      <c r="E956" s="40" t="s">
        <v>291</v>
      </c>
      <c r="F956" s="40"/>
      <c r="G956" s="40" t="s">
        <v>377</v>
      </c>
      <c r="H956" s="40" t="s">
        <v>9</v>
      </c>
      <c r="I956" s="38">
        <v>19.64</v>
      </c>
      <c r="J956" s="38">
        <v>3095.2</v>
      </c>
    </row>
    <row r="957" spans="2:10" x14ac:dyDescent="0.25">
      <c r="B957" s="40" t="s">
        <v>376</v>
      </c>
      <c r="C957" s="40" t="s">
        <v>359</v>
      </c>
      <c r="D957" s="40"/>
      <c r="E957" s="40" t="s">
        <v>291</v>
      </c>
      <c r="F957" s="40"/>
      <c r="G957" s="40" t="s">
        <v>375</v>
      </c>
      <c r="H957" s="40" t="s">
        <v>9</v>
      </c>
      <c r="I957" s="38">
        <v>13.24</v>
      </c>
      <c r="J957" s="38">
        <v>3108.44</v>
      </c>
    </row>
    <row r="958" spans="2:10" x14ac:dyDescent="0.25">
      <c r="B958" s="40" t="s">
        <v>322</v>
      </c>
      <c r="C958" s="40" t="s">
        <v>359</v>
      </c>
      <c r="D958" s="40"/>
      <c r="E958" s="40" t="s">
        <v>291</v>
      </c>
      <c r="F958" s="40"/>
      <c r="G958" s="40" t="s">
        <v>374</v>
      </c>
      <c r="H958" s="40" t="s">
        <v>9</v>
      </c>
      <c r="I958" s="38">
        <v>7.31</v>
      </c>
      <c r="J958" s="38">
        <v>3115.75</v>
      </c>
    </row>
    <row r="959" spans="2:10" x14ac:dyDescent="0.25">
      <c r="B959" s="40" t="s">
        <v>322</v>
      </c>
      <c r="C959" s="40" t="s">
        <v>359</v>
      </c>
      <c r="D959" s="40"/>
      <c r="E959" s="40" t="s">
        <v>291</v>
      </c>
      <c r="F959" s="40"/>
      <c r="G959" s="40" t="s">
        <v>373</v>
      </c>
      <c r="H959" s="40" t="s">
        <v>9</v>
      </c>
      <c r="I959" s="38">
        <v>85.2</v>
      </c>
      <c r="J959" s="38">
        <v>3200.95</v>
      </c>
    </row>
    <row r="960" spans="2:10" x14ac:dyDescent="0.25">
      <c r="B960" s="40" t="s">
        <v>371</v>
      </c>
      <c r="C960" s="40" t="s">
        <v>359</v>
      </c>
      <c r="D960" s="40"/>
      <c r="E960" s="40" t="s">
        <v>291</v>
      </c>
      <c r="F960" s="40"/>
      <c r="G960" s="40" t="s">
        <v>372</v>
      </c>
      <c r="H960" s="40" t="s">
        <v>9</v>
      </c>
      <c r="I960" s="38">
        <v>36.49</v>
      </c>
      <c r="J960" s="38">
        <v>3237.44</v>
      </c>
    </row>
    <row r="961" spans="1:10" x14ac:dyDescent="0.25">
      <c r="B961" s="40" t="s">
        <v>371</v>
      </c>
      <c r="C961" s="40" t="s">
        <v>359</v>
      </c>
      <c r="D961" s="40"/>
      <c r="E961" s="40" t="s">
        <v>291</v>
      </c>
      <c r="F961" s="40"/>
      <c r="G961" s="40" t="s">
        <v>370</v>
      </c>
      <c r="H961" s="40" t="s">
        <v>9</v>
      </c>
      <c r="I961" s="38">
        <v>4.1500000000000004</v>
      </c>
      <c r="J961" s="38">
        <v>3241.59</v>
      </c>
    </row>
    <row r="962" spans="1:10" x14ac:dyDescent="0.25">
      <c r="B962" s="40" t="s">
        <v>368</v>
      </c>
      <c r="C962" s="40" t="s">
        <v>359</v>
      </c>
      <c r="D962" s="40"/>
      <c r="E962" s="40" t="s">
        <v>291</v>
      </c>
      <c r="F962" s="40"/>
      <c r="G962" s="40" t="s">
        <v>369</v>
      </c>
      <c r="H962" s="40" t="s">
        <v>9</v>
      </c>
      <c r="I962" s="38">
        <v>3.63</v>
      </c>
      <c r="J962" s="38">
        <v>3245.22</v>
      </c>
    </row>
    <row r="963" spans="1:10" x14ac:dyDescent="0.25">
      <c r="B963" s="40" t="s">
        <v>368</v>
      </c>
      <c r="C963" s="40" t="s">
        <v>359</v>
      </c>
      <c r="D963" s="40"/>
      <c r="E963" s="40" t="s">
        <v>291</v>
      </c>
      <c r="F963" s="40"/>
      <c r="G963" s="40" t="s">
        <v>367</v>
      </c>
      <c r="H963" s="40" t="s">
        <v>9</v>
      </c>
      <c r="I963" s="38">
        <v>21.18</v>
      </c>
      <c r="J963" s="38">
        <v>3266.4</v>
      </c>
    </row>
    <row r="964" spans="1:10" x14ac:dyDescent="0.25">
      <c r="B964" s="40" t="s">
        <v>362</v>
      </c>
      <c r="C964" s="40" t="s">
        <v>359</v>
      </c>
      <c r="D964" s="40"/>
      <c r="E964" s="40" t="s">
        <v>291</v>
      </c>
      <c r="F964" s="40"/>
      <c r="G964" s="40" t="s">
        <v>366</v>
      </c>
      <c r="H964" s="40" t="s">
        <v>9</v>
      </c>
      <c r="I964" s="38">
        <v>10.88</v>
      </c>
      <c r="J964" s="38">
        <v>3277.28</v>
      </c>
    </row>
    <row r="965" spans="1:10" x14ac:dyDescent="0.25">
      <c r="B965" s="40" t="s">
        <v>362</v>
      </c>
      <c r="C965" s="40" t="s">
        <v>359</v>
      </c>
      <c r="D965" s="40"/>
      <c r="E965" s="40" t="s">
        <v>291</v>
      </c>
      <c r="F965" s="40"/>
      <c r="G965" s="40" t="s">
        <v>365</v>
      </c>
      <c r="H965" s="40" t="s">
        <v>9</v>
      </c>
      <c r="I965" s="38">
        <v>14.25</v>
      </c>
      <c r="J965" s="38">
        <v>3291.53</v>
      </c>
    </row>
    <row r="966" spans="1:10" x14ac:dyDescent="0.25">
      <c r="B966" s="40" t="s">
        <v>362</v>
      </c>
      <c r="C966" s="40" t="s">
        <v>359</v>
      </c>
      <c r="D966" s="40"/>
      <c r="E966" s="40" t="s">
        <v>291</v>
      </c>
      <c r="F966" s="40"/>
      <c r="G966" s="40" t="s">
        <v>364</v>
      </c>
      <c r="H966" s="40" t="s">
        <v>9</v>
      </c>
      <c r="I966" s="38">
        <v>15.61</v>
      </c>
      <c r="J966" s="38">
        <v>3307.14</v>
      </c>
    </row>
    <row r="967" spans="1:10" x14ac:dyDescent="0.25">
      <c r="B967" s="40" t="s">
        <v>362</v>
      </c>
      <c r="C967" s="40" t="s">
        <v>359</v>
      </c>
      <c r="D967" s="40"/>
      <c r="E967" s="40" t="s">
        <v>291</v>
      </c>
      <c r="F967" s="40"/>
      <c r="G967" s="40" t="s">
        <v>363</v>
      </c>
      <c r="H967" s="40" t="s">
        <v>9</v>
      </c>
      <c r="I967" s="38">
        <v>10.95</v>
      </c>
      <c r="J967" s="38">
        <v>3318.09</v>
      </c>
    </row>
    <row r="968" spans="1:10" x14ac:dyDescent="0.25">
      <c r="B968" s="40" t="s">
        <v>362</v>
      </c>
      <c r="C968" s="40" t="s">
        <v>359</v>
      </c>
      <c r="D968" s="40"/>
      <c r="E968" s="40" t="s">
        <v>291</v>
      </c>
      <c r="F968" s="40"/>
      <c r="G968" s="40" t="s">
        <v>361</v>
      </c>
      <c r="H968" s="40" t="s">
        <v>9</v>
      </c>
      <c r="I968" s="38">
        <v>25.69</v>
      </c>
      <c r="J968" s="38">
        <v>3343.78</v>
      </c>
    </row>
    <row r="969" spans="1:10" x14ac:dyDescent="0.25">
      <c r="B969" s="40" t="s">
        <v>294</v>
      </c>
      <c r="C969" s="40" t="s">
        <v>359</v>
      </c>
      <c r="D969" s="40"/>
      <c r="E969" s="40" t="s">
        <v>291</v>
      </c>
      <c r="F969" s="40"/>
      <c r="G969" s="40" t="s">
        <v>360</v>
      </c>
      <c r="H969" s="40" t="s">
        <v>9</v>
      </c>
      <c r="I969" s="38">
        <v>9.15</v>
      </c>
      <c r="J969" s="38">
        <v>3352.93</v>
      </c>
    </row>
    <row r="970" spans="1:10" x14ac:dyDescent="0.25">
      <c r="B970" s="40" t="s">
        <v>294</v>
      </c>
      <c r="C970" s="40" t="s">
        <v>359</v>
      </c>
      <c r="D970" s="40"/>
      <c r="E970" s="40" t="s">
        <v>291</v>
      </c>
      <c r="F970" s="40"/>
      <c r="G970" s="40" t="s">
        <v>358</v>
      </c>
      <c r="H970" s="40" t="s">
        <v>9</v>
      </c>
      <c r="I970" s="38">
        <v>35.29</v>
      </c>
      <c r="J970" s="38">
        <v>3388.22</v>
      </c>
    </row>
    <row r="971" spans="1:10" x14ac:dyDescent="0.25">
      <c r="A971" s="24" t="s">
        <v>357</v>
      </c>
      <c r="I971" s="37">
        <v>1382.07</v>
      </c>
    </row>
    <row r="972" spans="1:10" x14ac:dyDescent="0.25">
      <c r="A972" s="24" t="s">
        <v>356</v>
      </c>
    </row>
    <row r="973" spans="1:10" x14ac:dyDescent="0.25">
      <c r="B973" s="40" t="s">
        <v>301</v>
      </c>
      <c r="J973" s="38">
        <v>2.5</v>
      </c>
    </row>
    <row r="974" spans="1:10" x14ac:dyDescent="0.25">
      <c r="A974" s="24" t="s">
        <v>355</v>
      </c>
      <c r="I974" s="37" t="s">
        <v>299</v>
      </c>
    </row>
    <row r="975" spans="1:10" x14ac:dyDescent="0.25">
      <c r="A975" s="24" t="s">
        <v>354</v>
      </c>
    </row>
    <row r="976" spans="1:10" x14ac:dyDescent="0.25">
      <c r="B976" s="40" t="s">
        <v>301</v>
      </c>
      <c r="J976" s="38">
        <v>7633.79</v>
      </c>
    </row>
    <row r="977" spans="2:10" x14ac:dyDescent="0.25">
      <c r="B977" s="40" t="s">
        <v>318</v>
      </c>
      <c r="C977" s="40" t="s">
        <v>306</v>
      </c>
      <c r="D977" s="40"/>
      <c r="E977" s="40" t="s">
        <v>291</v>
      </c>
      <c r="F977" s="40" t="s">
        <v>328</v>
      </c>
      <c r="G977" s="40" t="s">
        <v>309</v>
      </c>
      <c r="H977" s="40" t="s">
        <v>53</v>
      </c>
      <c r="I977" s="38">
        <v>104.85</v>
      </c>
      <c r="J977" s="38">
        <v>7738.64</v>
      </c>
    </row>
    <row r="978" spans="2:10" x14ac:dyDescent="0.25">
      <c r="B978" s="40" t="s">
        <v>318</v>
      </c>
      <c r="C978" s="40" t="s">
        <v>306</v>
      </c>
      <c r="D978" s="40"/>
      <c r="E978" s="40" t="s">
        <v>291</v>
      </c>
      <c r="F978" s="40" t="s">
        <v>342</v>
      </c>
      <c r="G978" s="40" t="s">
        <v>309</v>
      </c>
      <c r="H978" s="40" t="s">
        <v>53</v>
      </c>
      <c r="I978" s="38">
        <v>320.52999999999997</v>
      </c>
      <c r="J978" s="38">
        <v>8059.17</v>
      </c>
    </row>
    <row r="979" spans="2:10" x14ac:dyDescent="0.25">
      <c r="B979" s="40" t="s">
        <v>353</v>
      </c>
      <c r="C979" s="40" t="s">
        <v>306</v>
      </c>
      <c r="D979" s="40"/>
      <c r="E979" s="40" t="s">
        <v>291</v>
      </c>
      <c r="F979" s="40" t="s">
        <v>344</v>
      </c>
      <c r="G979" s="40" t="s">
        <v>309</v>
      </c>
      <c r="H979" s="40" t="s">
        <v>53</v>
      </c>
      <c r="I979" s="38">
        <v>76.98</v>
      </c>
      <c r="J979" s="38">
        <v>8136.15</v>
      </c>
    </row>
    <row r="980" spans="2:10" x14ac:dyDescent="0.25">
      <c r="B980" s="40" t="s">
        <v>351</v>
      </c>
      <c r="C980" s="40" t="s">
        <v>306</v>
      </c>
      <c r="D980" s="40"/>
      <c r="E980" s="40" t="s">
        <v>291</v>
      </c>
      <c r="F980" s="40" t="s">
        <v>352</v>
      </c>
      <c r="G980" s="40" t="s">
        <v>327</v>
      </c>
      <c r="H980" s="40" t="s">
        <v>53</v>
      </c>
      <c r="I980" s="38">
        <v>1586</v>
      </c>
      <c r="J980" s="38">
        <v>9722.15</v>
      </c>
    </row>
    <row r="981" spans="2:10" x14ac:dyDescent="0.25">
      <c r="B981" s="40" t="s">
        <v>351</v>
      </c>
      <c r="C981" s="40" t="s">
        <v>306</v>
      </c>
      <c r="D981" s="40"/>
      <c r="E981" s="40" t="s">
        <v>291</v>
      </c>
      <c r="F981" s="40" t="s">
        <v>344</v>
      </c>
      <c r="G981" s="40" t="s">
        <v>304</v>
      </c>
      <c r="H981" s="40" t="s">
        <v>53</v>
      </c>
      <c r="I981" s="38">
        <v>20.88</v>
      </c>
      <c r="J981" s="38">
        <v>9743.0300000000007</v>
      </c>
    </row>
    <row r="982" spans="2:10" x14ac:dyDescent="0.25">
      <c r="B982" s="40" t="s">
        <v>315</v>
      </c>
      <c r="C982" s="40" t="s">
        <v>306</v>
      </c>
      <c r="D982" s="40"/>
      <c r="E982" s="40" t="s">
        <v>291</v>
      </c>
      <c r="F982" s="40" t="s">
        <v>342</v>
      </c>
      <c r="G982" s="40" t="s">
        <v>309</v>
      </c>
      <c r="H982" s="40" t="s">
        <v>53</v>
      </c>
      <c r="I982" s="38">
        <v>97.76</v>
      </c>
      <c r="J982" s="38">
        <v>9840.7900000000009</v>
      </c>
    </row>
    <row r="983" spans="2:10" x14ac:dyDescent="0.25">
      <c r="B983" s="40" t="s">
        <v>315</v>
      </c>
      <c r="C983" s="40" t="s">
        <v>306</v>
      </c>
      <c r="D983" s="40"/>
      <c r="E983" s="40" t="s">
        <v>291</v>
      </c>
      <c r="F983" s="40" t="s">
        <v>328</v>
      </c>
      <c r="G983" s="40" t="s">
        <v>309</v>
      </c>
      <c r="H983" s="40" t="s">
        <v>53</v>
      </c>
      <c r="I983" s="38">
        <v>104.85</v>
      </c>
      <c r="J983" s="38">
        <v>9945.64</v>
      </c>
    </row>
    <row r="984" spans="2:10" x14ac:dyDescent="0.25">
      <c r="B984" s="40" t="s">
        <v>350</v>
      </c>
      <c r="C984" s="40" t="s">
        <v>325</v>
      </c>
      <c r="D984" s="40" t="s">
        <v>349</v>
      </c>
      <c r="E984" s="40" t="s">
        <v>291</v>
      </c>
      <c r="F984" s="40" t="s">
        <v>348</v>
      </c>
      <c r="G984" s="40" t="s">
        <v>347</v>
      </c>
      <c r="H984" s="40" t="s">
        <v>47</v>
      </c>
      <c r="I984" s="38">
        <v>468</v>
      </c>
      <c r="J984" s="38">
        <v>10413.64</v>
      </c>
    </row>
    <row r="985" spans="2:10" x14ac:dyDescent="0.25">
      <c r="B985" s="40" t="s">
        <v>346</v>
      </c>
      <c r="C985" s="40" t="s">
        <v>306</v>
      </c>
      <c r="D985" s="40"/>
      <c r="E985" s="40" t="s">
        <v>291</v>
      </c>
      <c r="F985" s="40" t="s">
        <v>321</v>
      </c>
      <c r="G985" s="40" t="s">
        <v>327</v>
      </c>
      <c r="H985" s="40" t="s">
        <v>53</v>
      </c>
      <c r="I985" s="38">
        <v>4.84</v>
      </c>
      <c r="J985" s="38">
        <v>10418.48</v>
      </c>
    </row>
    <row r="986" spans="2:10" x14ac:dyDescent="0.25">
      <c r="B986" s="40" t="s">
        <v>346</v>
      </c>
      <c r="C986" s="40" t="s">
        <v>306</v>
      </c>
      <c r="D986" s="40"/>
      <c r="E986" s="40" t="s">
        <v>291</v>
      </c>
      <c r="F986" s="40" t="s">
        <v>344</v>
      </c>
      <c r="G986" s="40" t="s">
        <v>309</v>
      </c>
      <c r="H986" s="40" t="s">
        <v>53</v>
      </c>
      <c r="I986" s="38">
        <v>12.99</v>
      </c>
      <c r="J986" s="38">
        <v>10431.469999999999</v>
      </c>
    </row>
    <row r="987" spans="2:10" x14ac:dyDescent="0.25">
      <c r="B987" s="40" t="s">
        <v>346</v>
      </c>
      <c r="C987" s="40" t="s">
        <v>306</v>
      </c>
      <c r="D987" s="40"/>
      <c r="E987" s="40" t="s">
        <v>291</v>
      </c>
      <c r="F987" s="40" t="s">
        <v>333</v>
      </c>
      <c r="G987" s="40" t="s">
        <v>309</v>
      </c>
      <c r="H987" s="40" t="s">
        <v>53</v>
      </c>
      <c r="I987" s="38">
        <v>111.24</v>
      </c>
      <c r="J987" s="38">
        <v>10542.71</v>
      </c>
    </row>
    <row r="988" spans="2:10" x14ac:dyDescent="0.25">
      <c r="B988" s="40" t="s">
        <v>345</v>
      </c>
      <c r="C988" s="40" t="s">
        <v>306</v>
      </c>
      <c r="D988" s="40"/>
      <c r="E988" s="40" t="s">
        <v>291</v>
      </c>
      <c r="F988" s="40" t="s">
        <v>344</v>
      </c>
      <c r="G988" s="40" t="s">
        <v>309</v>
      </c>
      <c r="H988" s="40" t="s">
        <v>53</v>
      </c>
      <c r="I988" s="38">
        <v>39.979999999999997</v>
      </c>
      <c r="J988" s="38">
        <v>10582.69</v>
      </c>
    </row>
    <row r="989" spans="2:10" x14ac:dyDescent="0.25">
      <c r="B989" s="40" t="s">
        <v>345</v>
      </c>
      <c r="C989" s="40" t="s">
        <v>306</v>
      </c>
      <c r="D989" s="40"/>
      <c r="E989" s="40" t="s">
        <v>291</v>
      </c>
      <c r="F989" s="40" t="s">
        <v>344</v>
      </c>
      <c r="G989" s="40" t="s">
        <v>309</v>
      </c>
      <c r="H989" s="40" t="s">
        <v>53</v>
      </c>
      <c r="I989" s="38">
        <v>34.99</v>
      </c>
      <c r="J989" s="38">
        <v>10617.68</v>
      </c>
    </row>
    <row r="990" spans="2:10" x14ac:dyDescent="0.25">
      <c r="B990" s="40" t="s">
        <v>343</v>
      </c>
      <c r="C990" s="40" t="s">
        <v>306</v>
      </c>
      <c r="D990" s="40"/>
      <c r="E990" s="40" t="s">
        <v>291</v>
      </c>
      <c r="F990" s="40" t="s">
        <v>342</v>
      </c>
      <c r="G990" s="40" t="s">
        <v>309</v>
      </c>
      <c r="H990" s="40" t="s">
        <v>53</v>
      </c>
      <c r="I990" s="38">
        <v>31.2</v>
      </c>
      <c r="J990" s="38">
        <v>10648.88</v>
      </c>
    </row>
    <row r="991" spans="2:10" x14ac:dyDescent="0.25">
      <c r="B991" s="40" t="s">
        <v>339</v>
      </c>
      <c r="C991" s="40" t="s">
        <v>325</v>
      </c>
      <c r="D991" s="40">
        <v>126864</v>
      </c>
      <c r="E991" s="40" t="s">
        <v>291</v>
      </c>
      <c r="F991" s="40" t="s">
        <v>341</v>
      </c>
      <c r="G991" s="40" t="s">
        <v>340</v>
      </c>
      <c r="H991" s="40" t="s">
        <v>47</v>
      </c>
      <c r="I991" s="38">
        <v>1124.76</v>
      </c>
      <c r="J991" s="38">
        <v>11773.64</v>
      </c>
    </row>
    <row r="992" spans="2:10" x14ac:dyDescent="0.25">
      <c r="B992" s="40" t="s">
        <v>339</v>
      </c>
      <c r="C992" s="40" t="s">
        <v>325</v>
      </c>
      <c r="D992" s="40">
        <v>360105</v>
      </c>
      <c r="E992" s="40" t="s">
        <v>291</v>
      </c>
      <c r="F992" s="40" t="s">
        <v>336</v>
      </c>
      <c r="G992" s="40" t="s">
        <v>338</v>
      </c>
      <c r="H992" s="40" t="s">
        <v>47</v>
      </c>
      <c r="I992" s="38">
        <v>137.9</v>
      </c>
      <c r="J992" s="38">
        <v>11911.54</v>
      </c>
    </row>
    <row r="993" spans="1:10" x14ac:dyDescent="0.25">
      <c r="B993" s="40" t="s">
        <v>337</v>
      </c>
      <c r="C993" s="40" t="s">
        <v>306</v>
      </c>
      <c r="D993" s="40"/>
      <c r="E993" s="40" t="s">
        <v>291</v>
      </c>
      <c r="F993" s="40" t="s">
        <v>328</v>
      </c>
      <c r="G993" s="40" t="s">
        <v>309</v>
      </c>
      <c r="H993" s="40" t="s">
        <v>53</v>
      </c>
      <c r="I993" s="38">
        <v>104.85</v>
      </c>
      <c r="J993" s="38">
        <v>12016.39</v>
      </c>
    </row>
    <row r="994" spans="1:10" x14ac:dyDescent="0.25">
      <c r="B994" s="40" t="s">
        <v>337</v>
      </c>
      <c r="C994" s="40" t="s">
        <v>325</v>
      </c>
      <c r="D994" s="40">
        <v>360104</v>
      </c>
      <c r="E994" s="40" t="s">
        <v>291</v>
      </c>
      <c r="F994" s="40" t="s">
        <v>336</v>
      </c>
      <c r="G994" s="40" t="s">
        <v>335</v>
      </c>
      <c r="H994" s="40" t="s">
        <v>47</v>
      </c>
      <c r="I994" s="38">
        <v>165</v>
      </c>
      <c r="J994" s="38">
        <v>12181.39</v>
      </c>
    </row>
    <row r="995" spans="1:10" x14ac:dyDescent="0.25">
      <c r="B995" s="40" t="s">
        <v>334</v>
      </c>
      <c r="C995" s="40" t="s">
        <v>306</v>
      </c>
      <c r="D995" s="40"/>
      <c r="E995" s="40" t="s">
        <v>291</v>
      </c>
      <c r="F995" s="40" t="s">
        <v>333</v>
      </c>
      <c r="G995" s="40" t="s">
        <v>309</v>
      </c>
      <c r="H995" s="40" t="s">
        <v>53</v>
      </c>
      <c r="I995" s="38">
        <v>526.33000000000004</v>
      </c>
      <c r="J995" s="38">
        <v>12707.72</v>
      </c>
    </row>
    <row r="996" spans="1:10" x14ac:dyDescent="0.25">
      <c r="B996" s="40" t="s">
        <v>329</v>
      </c>
      <c r="C996" s="40" t="s">
        <v>325</v>
      </c>
      <c r="D996" s="40">
        <v>277</v>
      </c>
      <c r="E996" s="40" t="s">
        <v>291</v>
      </c>
      <c r="F996" s="40" t="s">
        <v>332</v>
      </c>
      <c r="G996" s="40" t="s">
        <v>331</v>
      </c>
      <c r="H996" s="40" t="s">
        <v>47</v>
      </c>
      <c r="I996" s="38">
        <v>333.72</v>
      </c>
      <c r="J996" s="38">
        <v>13041.44</v>
      </c>
    </row>
    <row r="997" spans="1:10" x14ac:dyDescent="0.25">
      <c r="B997" s="40" t="s">
        <v>329</v>
      </c>
      <c r="C997" s="40" t="s">
        <v>306</v>
      </c>
      <c r="D997" s="40"/>
      <c r="E997" s="40" t="s">
        <v>291</v>
      </c>
      <c r="F997" s="40" t="s">
        <v>330</v>
      </c>
      <c r="G997" s="40" t="s">
        <v>327</v>
      </c>
      <c r="H997" s="40" t="s">
        <v>53</v>
      </c>
      <c r="I997" s="38">
        <v>77.25</v>
      </c>
      <c r="J997" s="38">
        <v>13118.69</v>
      </c>
    </row>
    <row r="998" spans="1:10" x14ac:dyDescent="0.25">
      <c r="B998" s="40" t="s">
        <v>329</v>
      </c>
      <c r="C998" s="40" t="s">
        <v>306</v>
      </c>
      <c r="D998" s="40"/>
      <c r="E998" s="40" t="s">
        <v>291</v>
      </c>
      <c r="F998" s="40" t="s">
        <v>328</v>
      </c>
      <c r="G998" s="40" t="s">
        <v>327</v>
      </c>
      <c r="H998" s="40" t="s">
        <v>53</v>
      </c>
      <c r="I998" s="38">
        <v>6.49</v>
      </c>
      <c r="J998" s="38">
        <v>13125.18</v>
      </c>
    </row>
    <row r="999" spans="1:10" x14ac:dyDescent="0.25">
      <c r="B999" s="40" t="s">
        <v>326</v>
      </c>
      <c r="C999" s="40" t="s">
        <v>325</v>
      </c>
      <c r="D999" s="40">
        <v>31730461</v>
      </c>
      <c r="E999" s="40" t="s">
        <v>291</v>
      </c>
      <c r="F999" s="40" t="s">
        <v>324</v>
      </c>
      <c r="G999" s="40" t="s">
        <v>323</v>
      </c>
      <c r="H999" s="40" t="s">
        <v>47</v>
      </c>
      <c r="I999" s="38">
        <v>1344.42</v>
      </c>
      <c r="J999" s="38">
        <v>14469.6</v>
      </c>
    </row>
    <row r="1000" spans="1:10" x14ac:dyDescent="0.25">
      <c r="B1000" s="40" t="s">
        <v>322</v>
      </c>
      <c r="C1000" s="40" t="s">
        <v>306</v>
      </c>
      <c r="D1000" s="40"/>
      <c r="E1000" s="40" t="s">
        <v>291</v>
      </c>
      <c r="F1000" s="40" t="s">
        <v>321</v>
      </c>
      <c r="G1000" s="40" t="s">
        <v>309</v>
      </c>
      <c r="H1000" s="40" t="s">
        <v>53</v>
      </c>
      <c r="I1000" s="38">
        <v>111.26</v>
      </c>
      <c r="J1000" s="38">
        <v>14580.86</v>
      </c>
    </row>
    <row r="1001" spans="1:10" x14ac:dyDescent="0.25">
      <c r="A1001" s="24" t="s">
        <v>320</v>
      </c>
      <c r="I1001" s="37">
        <v>6947.07</v>
      </c>
    </row>
    <row r="1002" spans="1:10" x14ac:dyDescent="0.25">
      <c r="A1002" s="24" t="s">
        <v>319</v>
      </c>
    </row>
    <row r="1003" spans="1:10" x14ac:dyDescent="0.25">
      <c r="B1003" s="40" t="s">
        <v>301</v>
      </c>
      <c r="J1003" s="38">
        <v>3474.57</v>
      </c>
    </row>
    <row r="1004" spans="1:10" x14ac:dyDescent="0.25">
      <c r="B1004" s="40" t="s">
        <v>318</v>
      </c>
      <c r="C1004" s="40" t="s">
        <v>306</v>
      </c>
      <c r="D1004" s="40"/>
      <c r="E1004" s="40" t="s">
        <v>291</v>
      </c>
      <c r="F1004" s="40" t="s">
        <v>317</v>
      </c>
      <c r="G1004" s="40" t="s">
        <v>316</v>
      </c>
      <c r="H1004" s="40" t="s">
        <v>9</v>
      </c>
      <c r="I1004" s="38">
        <v>308</v>
      </c>
      <c r="J1004" s="38">
        <v>3782.57</v>
      </c>
    </row>
    <row r="1005" spans="1:10" x14ac:dyDescent="0.25">
      <c r="B1005" s="40" t="s">
        <v>315</v>
      </c>
      <c r="C1005" s="40" t="s">
        <v>306</v>
      </c>
      <c r="D1005" s="40"/>
      <c r="E1005" s="40" t="s">
        <v>291</v>
      </c>
      <c r="F1005" s="40" t="s">
        <v>314</v>
      </c>
      <c r="G1005" s="40"/>
      <c r="H1005" s="40" t="s">
        <v>52</v>
      </c>
      <c r="I1005" s="38">
        <v>12.99</v>
      </c>
      <c r="J1005" s="38">
        <v>3795.56</v>
      </c>
    </row>
    <row r="1006" spans="1:10" x14ac:dyDescent="0.25">
      <c r="B1006" s="40" t="s">
        <v>313</v>
      </c>
      <c r="C1006" s="40" t="s">
        <v>306</v>
      </c>
      <c r="D1006" s="40"/>
      <c r="E1006" s="40" t="s">
        <v>291</v>
      </c>
      <c r="F1006" s="40" t="s">
        <v>312</v>
      </c>
      <c r="G1006" s="40" t="s">
        <v>311</v>
      </c>
      <c r="H1006" s="40" t="s">
        <v>53</v>
      </c>
      <c r="I1006" s="38">
        <v>44.99</v>
      </c>
      <c r="J1006" s="38">
        <v>3840.55</v>
      </c>
    </row>
    <row r="1007" spans="1:10" x14ac:dyDescent="0.25">
      <c r="B1007" s="40" t="s">
        <v>310</v>
      </c>
      <c r="C1007" s="40" t="s">
        <v>306</v>
      </c>
      <c r="D1007" s="40"/>
      <c r="E1007" s="40" t="s">
        <v>291</v>
      </c>
      <c r="F1007" s="40" t="s">
        <v>305</v>
      </c>
      <c r="G1007" s="40" t="s">
        <v>309</v>
      </c>
      <c r="H1007" s="40" t="s">
        <v>53</v>
      </c>
      <c r="I1007" s="38">
        <v>19.989999999999998</v>
      </c>
      <c r="J1007" s="38">
        <v>3860.54</v>
      </c>
    </row>
    <row r="1008" spans="1:10" x14ac:dyDescent="0.25">
      <c r="B1008" s="40" t="s">
        <v>307</v>
      </c>
      <c r="C1008" s="40" t="s">
        <v>306</v>
      </c>
      <c r="D1008" s="40"/>
      <c r="E1008" s="40" t="s">
        <v>291</v>
      </c>
      <c r="F1008" s="40" t="s">
        <v>308</v>
      </c>
      <c r="G1008" s="40" t="s">
        <v>304</v>
      </c>
      <c r="H1008" s="40" t="s">
        <v>53</v>
      </c>
      <c r="I1008" s="38">
        <v>115</v>
      </c>
      <c r="J1008" s="38">
        <v>3975.54</v>
      </c>
    </row>
    <row r="1009" spans="1:10" x14ac:dyDescent="0.25">
      <c r="B1009" s="40" t="s">
        <v>307</v>
      </c>
      <c r="C1009" s="40" t="s">
        <v>306</v>
      </c>
      <c r="D1009" s="40"/>
      <c r="E1009" s="40" t="s">
        <v>291</v>
      </c>
      <c r="F1009" s="40" t="s">
        <v>305</v>
      </c>
      <c r="G1009" s="40" t="s">
        <v>304</v>
      </c>
      <c r="H1009" s="40" t="s">
        <v>53</v>
      </c>
      <c r="I1009" s="38">
        <v>19.989999999999998</v>
      </c>
      <c r="J1009" s="38">
        <v>3995.53</v>
      </c>
    </row>
    <row r="1010" spans="1:10" x14ac:dyDescent="0.25">
      <c r="A1010" s="24" t="s">
        <v>303</v>
      </c>
      <c r="I1010" s="37">
        <v>520.96</v>
      </c>
    </row>
    <row r="1011" spans="1:10" x14ac:dyDescent="0.25">
      <c r="A1011" s="24" t="s">
        <v>302</v>
      </c>
    </row>
    <row r="1012" spans="1:10" x14ac:dyDescent="0.25">
      <c r="B1012" s="40" t="s">
        <v>301</v>
      </c>
      <c r="J1012" s="38">
        <v>2500</v>
      </c>
    </row>
    <row r="1013" spans="1:10" x14ac:dyDescent="0.25">
      <c r="A1013" s="24" t="s">
        <v>300</v>
      </c>
      <c r="I1013" s="37" t="s">
        <v>299</v>
      </c>
    </row>
    <row r="1014" spans="1:10" x14ac:dyDescent="0.25">
      <c r="A1014" s="24" t="s">
        <v>116</v>
      </c>
      <c r="I1014" s="37">
        <v>22222.560000000001</v>
      </c>
    </row>
    <row r="1015" spans="1:10" x14ac:dyDescent="0.25">
      <c r="A1015" s="24" t="s">
        <v>106</v>
      </c>
    </row>
    <row r="1016" spans="1:10" x14ac:dyDescent="0.25">
      <c r="B1016" s="40" t="s">
        <v>298</v>
      </c>
      <c r="C1016" s="40" t="s">
        <v>297</v>
      </c>
      <c r="D1016" s="40">
        <v>2442</v>
      </c>
      <c r="E1016" s="40" t="s">
        <v>291</v>
      </c>
      <c r="F1016" s="40" t="s">
        <v>296</v>
      </c>
      <c r="G1016" s="40" t="s">
        <v>295</v>
      </c>
      <c r="H1016" s="40" t="s">
        <v>9</v>
      </c>
      <c r="I1016" s="38">
        <v>-400</v>
      </c>
      <c r="J1016" s="38">
        <v>-400</v>
      </c>
    </row>
    <row r="1017" spans="1:10" x14ac:dyDescent="0.25">
      <c r="B1017" s="40" t="s">
        <v>294</v>
      </c>
      <c r="C1017" s="40" t="s">
        <v>293</v>
      </c>
      <c r="D1017" s="40" t="s">
        <v>292</v>
      </c>
      <c r="E1017" s="40" t="s">
        <v>291</v>
      </c>
      <c r="F1017" s="40"/>
      <c r="G1017" s="40" t="s">
        <v>290</v>
      </c>
      <c r="H1017" s="39" t="s">
        <v>289</v>
      </c>
      <c r="I1017" s="38">
        <v>400</v>
      </c>
      <c r="J1017" s="38">
        <v>0</v>
      </c>
    </row>
    <row r="1018" spans="1:10" x14ac:dyDescent="0.25">
      <c r="A1018" s="24" t="s">
        <v>103</v>
      </c>
      <c r="I1018" s="37">
        <v>0</v>
      </c>
    </row>
    <row r="1021" spans="1:10" x14ac:dyDescent="0.25">
      <c r="A1021" s="49" t="s">
        <v>288</v>
      </c>
      <c r="B1021" s="50"/>
      <c r="C1021" s="50"/>
      <c r="D1021" s="50"/>
      <c r="E1021" s="50"/>
      <c r="F1021" s="50"/>
      <c r="G1021" s="50"/>
      <c r="H1021" s="50"/>
      <c r="I1021" s="50"/>
      <c r="J1021" s="50"/>
    </row>
  </sheetData>
  <mergeCells count="4">
    <mergeCell ref="A1021:J1021"/>
    <mergeCell ref="A1:J1"/>
    <mergeCell ref="A2:J2"/>
    <mergeCell ref="A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305CEA4C392E4E83FA85D2813B0B08" ma:contentTypeVersion="18" ma:contentTypeDescription="Create a new document." ma:contentTypeScope="" ma:versionID="695aa19681ef96d3d0faf1027271c775">
  <xsd:schema xmlns:xsd="http://www.w3.org/2001/XMLSchema" xmlns:xs="http://www.w3.org/2001/XMLSchema" xmlns:p="http://schemas.microsoft.com/office/2006/metadata/properties" xmlns:ns2="d488998e-ea57-4353-ba9c-f4b7a64634c6" xmlns:ns3="5e99e8e1-a0b2-476e-826d-f27bd950dab0" targetNamespace="http://schemas.microsoft.com/office/2006/metadata/properties" ma:root="true" ma:fieldsID="f6998105c37a4d55656c953983ce4842" ns2:_="" ns3:_="">
    <xsd:import namespace="d488998e-ea57-4353-ba9c-f4b7a64634c6"/>
    <xsd:import namespace="5e99e8e1-a0b2-476e-826d-f27bd950d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98e-ea57-4353-ba9c-f4b7a6463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c978cfb-b141-478a-8c5a-5a45919a00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9e8e1-a0b2-476e-826d-f27bd950da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54578ed-c9b3-4402-ba79-e0bf487e2d64}" ma:internalName="TaxCatchAll" ma:showField="CatchAllData" ma:web="5e99e8e1-a0b2-476e-826d-f27bd950da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88998e-ea57-4353-ba9c-f4b7a64634c6">
      <Terms xmlns="http://schemas.microsoft.com/office/infopath/2007/PartnerControls"/>
    </lcf76f155ced4ddcb4097134ff3c332f>
    <TaxCatchAll xmlns="5e99e8e1-a0b2-476e-826d-f27bd950dab0" xsi:nil="true"/>
  </documentManagement>
</p:properties>
</file>

<file path=customXml/itemProps1.xml><?xml version="1.0" encoding="utf-8"?>
<ds:datastoreItem xmlns:ds="http://schemas.openxmlformats.org/officeDocument/2006/customXml" ds:itemID="{CC583DC8-F6F5-4FEE-A312-127882C36F3B}"/>
</file>

<file path=customXml/itemProps2.xml><?xml version="1.0" encoding="utf-8"?>
<ds:datastoreItem xmlns:ds="http://schemas.openxmlformats.org/officeDocument/2006/customXml" ds:itemID="{04FA6E58-9D27-4260-91DB-E07FDE7CD2E0}"/>
</file>

<file path=customXml/itemProps3.xml><?xml version="1.0" encoding="utf-8"?>
<ds:datastoreItem xmlns:ds="http://schemas.openxmlformats.org/officeDocument/2006/customXml" ds:itemID="{EE72F135-7134-4D6B-AEFE-5EC33DD893D5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Activity</vt:lpstr>
      <vt:lpstr>Budget vs. Actuals</vt:lpstr>
      <vt:lpstr>By Program</vt:lpstr>
      <vt:lpstr>General Ledger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April Vasher-Dean</cp:lastModifiedBy>
  <dcterms:created xsi:type="dcterms:W3CDTF">2022-03-24T08:55:57Z</dcterms:created>
  <dcterms:modified xsi:type="dcterms:W3CDTF">2026-07-10T17:18:21Z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0x01010074305CEA4C392E4E83FA85D2813B0B08</vt:lpwstr>
  </property>
</Properties>
</file>