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dezmuseum.sharepoint.com/sites/ValdezMuseum/Shared Documents/2026 Board Materials/February 2026/"/>
    </mc:Choice>
  </mc:AlternateContent>
  <xr:revisionPtr revIDLastSave="0" documentId="8_{9836A05C-39D7-47AE-9A13-3BEC119299B3}" xr6:coauthVersionLast="47" xr6:coauthVersionMax="47" xr10:uidLastSave="{00000000-0000-0000-0000-000000000000}"/>
  <bookViews>
    <workbookView xWindow="0" yWindow="0" windowWidth="21750" windowHeight="12780" xr2:uid="{00000000-000D-0000-FFFF-FFFF00000000}"/>
  </bookViews>
  <sheets>
    <sheet name="January Activity" sheetId="1" r:id="rId1"/>
    <sheet name="Jan Activity by Class" sheetId="2" r:id="rId2"/>
    <sheet name="Budget vs. Actual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T8" i="3"/>
  <c r="U8" i="3"/>
  <c r="W8" i="3" s="1"/>
  <c r="V8" i="3"/>
  <c r="D9" i="3"/>
  <c r="T9" i="3"/>
  <c r="V9" i="3" s="1"/>
  <c r="U9" i="3"/>
  <c r="W9" i="3"/>
  <c r="B10" i="3"/>
  <c r="B25" i="3" s="1"/>
  <c r="C10" i="3"/>
  <c r="C25" i="3" s="1"/>
  <c r="D10" i="3"/>
  <c r="E10" i="3"/>
  <c r="F10" i="3"/>
  <c r="T10" i="3" s="1"/>
  <c r="V10" i="3" s="1"/>
  <c r="G10" i="3"/>
  <c r="U10" i="3" s="1"/>
  <c r="W10" i="3" s="1"/>
  <c r="H10" i="3"/>
  <c r="I10" i="3"/>
  <c r="J10" i="3"/>
  <c r="K10" i="3"/>
  <c r="K25" i="3" s="1"/>
  <c r="K26" i="3" s="1"/>
  <c r="L10" i="3"/>
  <c r="M10" i="3"/>
  <c r="N10" i="3"/>
  <c r="N25" i="3" s="1"/>
  <c r="N26" i="3" s="1"/>
  <c r="O10" i="3"/>
  <c r="P10" i="3"/>
  <c r="Q10" i="3"/>
  <c r="Q25" i="3" s="1"/>
  <c r="Q26" i="3" s="1"/>
  <c r="R10" i="3"/>
  <c r="R25" i="3" s="1"/>
  <c r="R26" i="3" s="1"/>
  <c r="R59" i="3" s="1"/>
  <c r="R60" i="3" s="1"/>
  <c r="S10" i="3"/>
  <c r="S25" i="3" s="1"/>
  <c r="S26" i="3" s="1"/>
  <c r="S59" i="3" s="1"/>
  <c r="S60" i="3" s="1"/>
  <c r="T11" i="3"/>
  <c r="U11" i="3"/>
  <c r="V11" i="3"/>
  <c r="W11" i="3"/>
  <c r="D12" i="3"/>
  <c r="E12" i="3"/>
  <c r="T12" i="3"/>
  <c r="V12" i="3" s="1"/>
  <c r="U12" i="3"/>
  <c r="W12" i="3"/>
  <c r="E13" i="3"/>
  <c r="E14" i="3" s="1"/>
  <c r="T13" i="3"/>
  <c r="U13" i="3"/>
  <c r="V13" i="3"/>
  <c r="W13" i="3"/>
  <c r="B14" i="3"/>
  <c r="C14" i="3"/>
  <c r="D14" i="3"/>
  <c r="F14" i="3"/>
  <c r="T14" i="3" s="1"/>
  <c r="G14" i="3"/>
  <c r="H14" i="3"/>
  <c r="I14" i="3"/>
  <c r="U14" i="3" s="1"/>
  <c r="J14" i="3"/>
  <c r="J25" i="3" s="1"/>
  <c r="J26" i="3" s="1"/>
  <c r="J59" i="3" s="1"/>
  <c r="J60" i="3" s="1"/>
  <c r="K14" i="3"/>
  <c r="L14" i="3"/>
  <c r="L25" i="3" s="1"/>
  <c r="L26" i="3" s="1"/>
  <c r="M14" i="3"/>
  <c r="M25" i="3" s="1"/>
  <c r="M26" i="3" s="1"/>
  <c r="N14" i="3"/>
  <c r="O14" i="3"/>
  <c r="O25" i="3" s="1"/>
  <c r="O26" i="3" s="1"/>
  <c r="O59" i="3" s="1"/>
  <c r="O60" i="3" s="1"/>
  <c r="P14" i="3"/>
  <c r="P25" i="3" s="1"/>
  <c r="P26" i="3" s="1"/>
  <c r="Q14" i="3"/>
  <c r="R14" i="3"/>
  <c r="S14" i="3"/>
  <c r="T15" i="3"/>
  <c r="U15" i="3"/>
  <c r="W15" i="3" s="1"/>
  <c r="V15" i="3"/>
  <c r="E16" i="3"/>
  <c r="T16" i="3"/>
  <c r="V16" i="3" s="1"/>
  <c r="U16" i="3"/>
  <c r="W16" i="3" s="1"/>
  <c r="E17" i="3"/>
  <c r="W17" i="3" s="1"/>
  <c r="T17" i="3"/>
  <c r="V17" i="3" s="1"/>
  <c r="U17" i="3"/>
  <c r="E18" i="3"/>
  <c r="W18" i="3" s="1"/>
  <c r="T18" i="3"/>
  <c r="U18" i="3"/>
  <c r="V18" i="3"/>
  <c r="E19" i="3"/>
  <c r="T19" i="3"/>
  <c r="U19" i="3"/>
  <c r="W19" i="3" s="1"/>
  <c r="V19" i="3"/>
  <c r="E20" i="3"/>
  <c r="W20" i="3" s="1"/>
  <c r="T20" i="3"/>
  <c r="V20" i="3" s="1"/>
  <c r="U20" i="3"/>
  <c r="E21" i="3"/>
  <c r="T21" i="3"/>
  <c r="V21" i="3" s="1"/>
  <c r="U21" i="3"/>
  <c r="W21" i="3"/>
  <c r="B22" i="3"/>
  <c r="C22" i="3"/>
  <c r="D22" i="3"/>
  <c r="F22" i="3"/>
  <c r="T22" i="3" s="1"/>
  <c r="V22" i="3" s="1"/>
  <c r="G22" i="3"/>
  <c r="U22" i="3" s="1"/>
  <c r="H22" i="3"/>
  <c r="I22" i="3"/>
  <c r="J22" i="3"/>
  <c r="K22" i="3"/>
  <c r="L22" i="3"/>
  <c r="M22" i="3"/>
  <c r="N22" i="3"/>
  <c r="O22" i="3"/>
  <c r="P22" i="3"/>
  <c r="Q22" i="3"/>
  <c r="R22" i="3"/>
  <c r="S22" i="3"/>
  <c r="E23" i="3"/>
  <c r="W23" i="3" s="1"/>
  <c r="T23" i="3"/>
  <c r="V23" i="3" s="1"/>
  <c r="U23" i="3"/>
  <c r="D24" i="3"/>
  <c r="E24" i="3"/>
  <c r="W24" i="3" s="1"/>
  <c r="T24" i="3"/>
  <c r="U24" i="3"/>
  <c r="V24" i="3"/>
  <c r="D25" i="3"/>
  <c r="D26" i="3" s="1"/>
  <c r="D59" i="3" s="1"/>
  <c r="D60" i="3" s="1"/>
  <c r="H25" i="3"/>
  <c r="H26" i="3" s="1"/>
  <c r="H59" i="3" s="1"/>
  <c r="H60" i="3" s="1"/>
  <c r="I25" i="3"/>
  <c r="I26" i="3" s="1"/>
  <c r="T28" i="3"/>
  <c r="U28" i="3"/>
  <c r="V28" i="3"/>
  <c r="W28" i="3"/>
  <c r="B29" i="3"/>
  <c r="B33" i="3" s="1"/>
  <c r="C29" i="3"/>
  <c r="C33" i="3" s="1"/>
  <c r="T29" i="3"/>
  <c r="U29" i="3"/>
  <c r="W29" i="3" s="1"/>
  <c r="V29" i="3"/>
  <c r="B30" i="3"/>
  <c r="V30" i="3" s="1"/>
  <c r="C30" i="3"/>
  <c r="W30" i="3" s="1"/>
  <c r="T30" i="3"/>
  <c r="U30" i="3"/>
  <c r="B31" i="3"/>
  <c r="C31" i="3"/>
  <c r="T31" i="3"/>
  <c r="V31" i="3" s="1"/>
  <c r="U31" i="3"/>
  <c r="W31" i="3"/>
  <c r="B32" i="3"/>
  <c r="C32" i="3"/>
  <c r="T32" i="3"/>
  <c r="U32" i="3"/>
  <c r="V32" i="3"/>
  <c r="W32" i="3"/>
  <c r="D33" i="3"/>
  <c r="E33" i="3"/>
  <c r="F33" i="3"/>
  <c r="G33" i="3"/>
  <c r="H33" i="3"/>
  <c r="T33" i="3" s="1"/>
  <c r="I33" i="3"/>
  <c r="J33" i="3"/>
  <c r="J58" i="3" s="1"/>
  <c r="K33" i="3"/>
  <c r="K58" i="3" s="1"/>
  <c r="L33" i="3"/>
  <c r="L58" i="3" s="1"/>
  <c r="M33" i="3"/>
  <c r="M58" i="3" s="1"/>
  <c r="N33" i="3"/>
  <c r="O33" i="3"/>
  <c r="O58" i="3" s="1"/>
  <c r="P33" i="3"/>
  <c r="Q33" i="3"/>
  <c r="R33" i="3"/>
  <c r="S33" i="3"/>
  <c r="T34" i="3"/>
  <c r="V34" i="3" s="1"/>
  <c r="U34" i="3"/>
  <c r="W34" i="3"/>
  <c r="B35" i="3"/>
  <c r="B39" i="3" s="1"/>
  <c r="C35" i="3"/>
  <c r="C39" i="3" s="1"/>
  <c r="T35" i="3"/>
  <c r="U35" i="3"/>
  <c r="V35" i="3"/>
  <c r="W35" i="3"/>
  <c r="B36" i="3"/>
  <c r="V36" i="3" s="1"/>
  <c r="C36" i="3"/>
  <c r="T36" i="3"/>
  <c r="U36" i="3"/>
  <c r="W36" i="3" s="1"/>
  <c r="K37" i="3"/>
  <c r="M37" i="3"/>
  <c r="Q37" i="3"/>
  <c r="Q39" i="3" s="1"/>
  <c r="R37" i="3"/>
  <c r="R39" i="3" s="1"/>
  <c r="R58" i="3" s="1"/>
  <c r="S37" i="3"/>
  <c r="S39" i="3" s="1"/>
  <c r="S58" i="3" s="1"/>
  <c r="T37" i="3"/>
  <c r="U37" i="3"/>
  <c r="V37" i="3"/>
  <c r="W37" i="3"/>
  <c r="M38" i="3"/>
  <c r="U38" i="3" s="1"/>
  <c r="W38" i="3" s="1"/>
  <c r="T38" i="3"/>
  <c r="V38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J40" i="3"/>
  <c r="K40" i="3"/>
  <c r="M40" i="3"/>
  <c r="T40" i="3"/>
  <c r="U40" i="3"/>
  <c r="W40" i="3" s="1"/>
  <c r="V40" i="3"/>
  <c r="C41" i="3"/>
  <c r="T41" i="3"/>
  <c r="V41" i="3" s="1"/>
  <c r="U41" i="3"/>
  <c r="W41" i="3" s="1"/>
  <c r="C42" i="3"/>
  <c r="R42" i="3"/>
  <c r="T42" i="3"/>
  <c r="U42" i="3"/>
  <c r="V42" i="3"/>
  <c r="W42" i="3"/>
  <c r="C43" i="3"/>
  <c r="W43" i="3" s="1"/>
  <c r="T43" i="3"/>
  <c r="U43" i="3"/>
  <c r="V43" i="3"/>
  <c r="C44" i="3"/>
  <c r="T44" i="3"/>
  <c r="V44" i="3" s="1"/>
  <c r="U44" i="3"/>
  <c r="W44" i="3" s="1"/>
  <c r="B45" i="3"/>
  <c r="B57" i="3" s="1"/>
  <c r="C45" i="3"/>
  <c r="T45" i="3"/>
  <c r="U45" i="3"/>
  <c r="V45" i="3"/>
  <c r="W45" i="3"/>
  <c r="B46" i="3"/>
  <c r="V46" i="3" s="1"/>
  <c r="C46" i="3"/>
  <c r="W46" i="3" s="1"/>
  <c r="T46" i="3"/>
  <c r="U46" i="3"/>
  <c r="B47" i="3"/>
  <c r="C47" i="3"/>
  <c r="W47" i="3" s="1"/>
  <c r="T47" i="3"/>
  <c r="U47" i="3"/>
  <c r="V47" i="3"/>
  <c r="B48" i="3"/>
  <c r="C48" i="3"/>
  <c r="T48" i="3"/>
  <c r="U48" i="3"/>
  <c r="V48" i="3"/>
  <c r="W48" i="3"/>
  <c r="C49" i="3"/>
  <c r="W49" i="3" s="1"/>
  <c r="N49" i="3"/>
  <c r="T49" i="3" s="1"/>
  <c r="V49" i="3" s="1"/>
  <c r="O49" i="3"/>
  <c r="U49" i="3"/>
  <c r="B50" i="3"/>
  <c r="C50" i="3"/>
  <c r="M50" i="3"/>
  <c r="P50" i="3"/>
  <c r="P57" i="3" s="1"/>
  <c r="Q50" i="3"/>
  <c r="Q57" i="3" s="1"/>
  <c r="T50" i="3"/>
  <c r="U50" i="3"/>
  <c r="V50" i="3"/>
  <c r="W50" i="3"/>
  <c r="B51" i="3"/>
  <c r="V51" i="3" s="1"/>
  <c r="C51" i="3"/>
  <c r="W51" i="3" s="1"/>
  <c r="M51" i="3"/>
  <c r="T51" i="3"/>
  <c r="U51" i="3"/>
  <c r="B52" i="3"/>
  <c r="T52" i="3"/>
  <c r="V52" i="3" s="1"/>
  <c r="U52" i="3"/>
  <c r="W52" i="3"/>
  <c r="I53" i="3"/>
  <c r="I57" i="3" s="1"/>
  <c r="I58" i="3" s="1"/>
  <c r="T53" i="3"/>
  <c r="U53" i="3"/>
  <c r="V53" i="3"/>
  <c r="W53" i="3"/>
  <c r="I54" i="3"/>
  <c r="U54" i="3" s="1"/>
  <c r="W54" i="3" s="1"/>
  <c r="O54" i="3"/>
  <c r="Q54" i="3"/>
  <c r="T54" i="3"/>
  <c r="V54" i="3" s="1"/>
  <c r="B55" i="3"/>
  <c r="O55" i="3"/>
  <c r="Q55" i="3"/>
  <c r="T55" i="3"/>
  <c r="U55" i="3"/>
  <c r="V55" i="3"/>
  <c r="W55" i="3"/>
  <c r="O56" i="3"/>
  <c r="T56" i="3"/>
  <c r="V56" i="3" s="1"/>
  <c r="U56" i="3"/>
  <c r="W56" i="3" s="1"/>
  <c r="D57" i="3"/>
  <c r="E57" i="3"/>
  <c r="F57" i="3"/>
  <c r="G57" i="3"/>
  <c r="H57" i="3"/>
  <c r="J57" i="3"/>
  <c r="K57" i="3"/>
  <c r="L57" i="3"/>
  <c r="M57" i="3"/>
  <c r="O57" i="3"/>
  <c r="R57" i="3"/>
  <c r="S57" i="3"/>
  <c r="D58" i="3"/>
  <c r="E58" i="3"/>
  <c r="F58" i="3"/>
  <c r="G58" i="3"/>
  <c r="H58" i="3"/>
  <c r="J8" i="2"/>
  <c r="C9" i="2"/>
  <c r="J9" i="2" s="1"/>
  <c r="J11" i="2"/>
  <c r="C12" i="2"/>
  <c r="J12" i="2"/>
  <c r="I13" i="2"/>
  <c r="J13" i="2"/>
  <c r="C14" i="2"/>
  <c r="G14" i="2"/>
  <c r="I14" i="2"/>
  <c r="J14" i="2"/>
  <c r="J18" i="2"/>
  <c r="J19" i="2"/>
  <c r="J20" i="2"/>
  <c r="J21" i="2"/>
  <c r="B22" i="2"/>
  <c r="J22" i="2"/>
  <c r="J24" i="2"/>
  <c r="J25" i="2"/>
  <c r="I26" i="2"/>
  <c r="J26" i="2"/>
  <c r="B27" i="2"/>
  <c r="H27" i="2"/>
  <c r="H41" i="2" s="1"/>
  <c r="I27" i="2"/>
  <c r="J27" i="2"/>
  <c r="I28" i="2"/>
  <c r="J28" i="2"/>
  <c r="I30" i="2"/>
  <c r="J30" i="2"/>
  <c r="J31" i="2"/>
  <c r="J32" i="2"/>
  <c r="J33" i="2"/>
  <c r="J34" i="2"/>
  <c r="I35" i="2"/>
  <c r="J35" i="2"/>
  <c r="I36" i="2"/>
  <c r="J36" i="2"/>
  <c r="J37" i="2"/>
  <c r="J38" i="2"/>
  <c r="J39" i="2"/>
  <c r="B40" i="2"/>
  <c r="B41" i="2" s="1"/>
  <c r="F40" i="2"/>
  <c r="G40" i="2"/>
  <c r="G41" i="2" s="1"/>
  <c r="H40" i="2"/>
  <c r="I40" i="2"/>
  <c r="E41" i="2"/>
  <c r="F41" i="2"/>
  <c r="I42" i="2"/>
  <c r="J42" i="2"/>
  <c r="I44" i="2"/>
  <c r="J44" i="2" s="1"/>
  <c r="B40" i="1"/>
  <c r="B27" i="1"/>
  <c r="B22" i="1"/>
  <c r="B41" i="1" s="1"/>
  <c r="B12" i="1"/>
  <c r="B14" i="1" s="1"/>
  <c r="B9" i="1"/>
  <c r="B26" i="3" l="1"/>
  <c r="V14" i="3"/>
  <c r="W14" i="3"/>
  <c r="E25" i="3"/>
  <c r="E26" i="3" s="1"/>
  <c r="E59" i="3" s="1"/>
  <c r="E60" i="3" s="1"/>
  <c r="Q58" i="3"/>
  <c r="U58" i="3" s="1"/>
  <c r="M59" i="3"/>
  <c r="M60" i="3" s="1"/>
  <c r="Q59" i="3"/>
  <c r="Q60" i="3" s="1"/>
  <c r="U57" i="3"/>
  <c r="U39" i="3"/>
  <c r="W39" i="3" s="1"/>
  <c r="K59" i="3"/>
  <c r="K60" i="3" s="1"/>
  <c r="I59" i="3"/>
  <c r="I60" i="3" s="1"/>
  <c r="C26" i="3"/>
  <c r="W33" i="3"/>
  <c r="P58" i="3"/>
  <c r="P59" i="3" s="1"/>
  <c r="P60" i="3" s="1"/>
  <c r="V33" i="3"/>
  <c r="B58" i="3"/>
  <c r="L59" i="3"/>
  <c r="L60" i="3" s="1"/>
  <c r="T39" i="3"/>
  <c r="V39" i="3" s="1"/>
  <c r="G25" i="3"/>
  <c r="N57" i="3"/>
  <c r="N58" i="3" s="1"/>
  <c r="F25" i="3"/>
  <c r="E22" i="3"/>
  <c r="W22" i="3" s="1"/>
  <c r="U33" i="3"/>
  <c r="C57" i="3"/>
  <c r="C58" i="3" s="1"/>
  <c r="W58" i="3" s="1"/>
  <c r="I41" i="2"/>
  <c r="J41" i="2" s="1"/>
  <c r="J40" i="2"/>
  <c r="N59" i="3" l="1"/>
  <c r="N60" i="3" s="1"/>
  <c r="T58" i="3"/>
  <c r="V58" i="3"/>
  <c r="W57" i="3"/>
  <c r="G26" i="3"/>
  <c r="U25" i="3"/>
  <c r="W25" i="3" s="1"/>
  <c r="T57" i="3"/>
  <c r="V57" i="3" s="1"/>
  <c r="B59" i="3"/>
  <c r="C59" i="3"/>
  <c r="F26" i="3"/>
  <c r="T25" i="3"/>
  <c r="V25" i="3" s="1"/>
  <c r="U26" i="3" l="1"/>
  <c r="W26" i="3" s="1"/>
  <c r="G59" i="3"/>
  <c r="T26" i="3"/>
  <c r="V26" i="3" s="1"/>
  <c r="F59" i="3"/>
  <c r="C60" i="3"/>
  <c r="B60" i="3"/>
  <c r="T59" i="3" l="1"/>
  <c r="V59" i="3" s="1"/>
  <c r="F60" i="3"/>
  <c r="T60" i="3" s="1"/>
  <c r="V60" i="3" s="1"/>
  <c r="U59" i="3"/>
  <c r="W59" i="3" s="1"/>
  <c r="G60" i="3"/>
  <c r="U60" i="3" s="1"/>
  <c r="W60" i="3" s="1"/>
</calcChain>
</file>

<file path=xl/sharedStrings.xml><?xml version="1.0" encoding="utf-8"?>
<sst xmlns="http://schemas.openxmlformats.org/spreadsheetml/2006/main" count="189" uniqueCount="115">
  <si>
    <t>Statement of Activity</t>
  </si>
  <si>
    <t>VALDEZ MUSEUM &amp; HISTORICAL ARCHIVE ASSOCIATION, IN</t>
  </si>
  <si>
    <t>January 2026</t>
  </si>
  <si>
    <t>Income</t>
  </si>
  <si>
    <t>4030 Donations Income</t>
  </si>
  <si>
    <t>4033 Membership</t>
  </si>
  <si>
    <t>Total for 4030 Donations Income</t>
  </si>
  <si>
    <t>4200 Grants</t>
  </si>
  <si>
    <t>4240 City of Valdez</t>
  </si>
  <si>
    <t>Total for 4200 Grants</t>
  </si>
  <si>
    <t>4800 Store Sales</t>
  </si>
  <si>
    <t>Total for Income</t>
  </si>
  <si>
    <t>Gross Profit</t>
  </si>
  <si>
    <t>Expenses</t>
  </si>
  <si>
    <t>6000 Personnel Expenses</t>
  </si>
  <si>
    <t>6010 Salaries &amp; Wages</t>
  </si>
  <si>
    <t>6020 FICA Payroll Tax</t>
  </si>
  <si>
    <t>6030 403(b) - Employer</t>
  </si>
  <si>
    <t>6040 Health Insurance</t>
  </si>
  <si>
    <t>Total for 6000 Personnel Expenses</t>
  </si>
  <si>
    <t>6100 Professional &amp; Contract Fees</t>
  </si>
  <si>
    <t>6110 Accounting</t>
  </si>
  <si>
    <t>6130 IT Services</t>
  </si>
  <si>
    <t>6140 Advertising/Marketing</t>
  </si>
  <si>
    <t>Total for 6100 Professional &amp; Contract Fees</t>
  </si>
  <si>
    <t>6200 Travel</t>
  </si>
  <si>
    <t>6300 General Expenses</t>
  </si>
  <si>
    <t>6305 Rent</t>
  </si>
  <si>
    <t>6315 Utilities</t>
  </si>
  <si>
    <t>6320 Janitoral Services</t>
  </si>
  <si>
    <t>6325 Telephone &amp; Internet</t>
  </si>
  <si>
    <t>6330 Office Supplies</t>
  </si>
  <si>
    <t>6335 Postage and Delivery</t>
  </si>
  <si>
    <t>6340 Dues and Subscriptions</t>
  </si>
  <si>
    <t>6345 Printing and Reproduction</t>
  </si>
  <si>
    <t>6350 Bank &amp; Service Charges</t>
  </si>
  <si>
    <t>6370 Software</t>
  </si>
  <si>
    <t>Total for 6300 General Expenses</t>
  </si>
  <si>
    <t>Total for Expenses</t>
  </si>
  <si>
    <t>Net Operating Income</t>
  </si>
  <si>
    <t>Net Other Income</t>
  </si>
  <si>
    <t>Net Income</t>
  </si>
  <si>
    <t>Distribution account</t>
  </si>
  <si>
    <t>Total</t>
  </si>
  <si>
    <t>Accrual Basis Thursday, January 29, 2026 11:25 PM GMTZ</t>
  </si>
  <si>
    <t>Accrual Basis Thursday, January 29, 2026 11:26 PM GMTZ</t>
  </si>
  <si>
    <t>Total for 03 Programs</t>
  </si>
  <si>
    <t>0306 Events</t>
  </si>
  <si>
    <t>0305 Retail</t>
  </si>
  <si>
    <t>0304 Collections</t>
  </si>
  <si>
    <t>0302 Marketing</t>
  </si>
  <si>
    <t>03 Programs</t>
  </si>
  <si>
    <t>02 Fundraising</t>
  </si>
  <si>
    <t>01 Administration</t>
  </si>
  <si>
    <t>Thursday, Jan 29, 2026 03:32:27 PM GMT-8 - Accrual Basis</t>
  </si>
  <si>
    <t>Net Revenue</t>
  </si>
  <si>
    <t>Net Operating Revenue</t>
  </si>
  <si>
    <t>Total Expenditures</t>
  </si>
  <si>
    <t xml:space="preserve">   Total 6300 General Expenses</t>
  </si>
  <si>
    <t xml:space="preserve">      6375 Acquisition</t>
  </si>
  <si>
    <t xml:space="preserve">      6370 Software</t>
  </si>
  <si>
    <t xml:space="preserve">      6365 Materials</t>
  </si>
  <si>
    <t xml:space="preserve">      6360 Graphics</t>
  </si>
  <si>
    <t xml:space="preserve">      6350 Bank &amp; Service Charges</t>
  </si>
  <si>
    <t xml:space="preserve">      6345 Printing and Reproduction</t>
  </si>
  <si>
    <t xml:space="preserve">      6340 Dues and Subscriptions</t>
  </si>
  <si>
    <t xml:space="preserve">      6335 Postage and Delivery</t>
  </si>
  <si>
    <t xml:space="preserve">      6330 Office Supplies</t>
  </si>
  <si>
    <t xml:space="preserve">      6325 Telephone &amp; Internet</t>
  </si>
  <si>
    <t xml:space="preserve">      6320 Janitoral Services</t>
  </si>
  <si>
    <t xml:space="preserve">      6315 Utilities</t>
  </si>
  <si>
    <t xml:space="preserve">      6310 Insurance</t>
  </si>
  <si>
    <t xml:space="preserve">      6307 Storage Rent</t>
  </si>
  <si>
    <t xml:space="preserve">      6305 Rent</t>
  </si>
  <si>
    <t xml:space="preserve">   6300 General Expenses</t>
  </si>
  <si>
    <t xml:space="preserve">   6200 Travel</t>
  </si>
  <si>
    <t xml:space="preserve">   Total 6100 Professional &amp; Contract Fees</t>
  </si>
  <si>
    <t xml:space="preserve">      6150 Stipend/Honorarium</t>
  </si>
  <si>
    <t xml:space="preserve">      6140 Advertising/Marketing</t>
  </si>
  <si>
    <t xml:space="preserve">      6130 IT Services</t>
  </si>
  <si>
    <t xml:space="preserve">      6110 Accounting</t>
  </si>
  <si>
    <t xml:space="preserve">   6100 Professional &amp; Contract Fees</t>
  </si>
  <si>
    <t xml:space="preserve">   Total 6000 Personnel Expenses</t>
  </si>
  <si>
    <t xml:space="preserve">      6040 Health Insurance</t>
  </si>
  <si>
    <t xml:space="preserve">      6030 403(b) - Employer</t>
  </si>
  <si>
    <t xml:space="preserve">      6020 FICA Payroll Tax</t>
  </si>
  <si>
    <t xml:space="preserve">      6010 Salaries &amp; Wages</t>
  </si>
  <si>
    <t xml:space="preserve">   6000 Personnel Expenses</t>
  </si>
  <si>
    <t>Expenditures</t>
  </si>
  <si>
    <t>Total Revenue</t>
  </si>
  <si>
    <t xml:space="preserve">   4800 Store Sales</t>
  </si>
  <si>
    <t xml:space="preserve">   4700 Interest Income</t>
  </si>
  <si>
    <t xml:space="preserve">   Total 4400 Service Income</t>
  </si>
  <si>
    <t xml:space="preserve">      4460 Event Income</t>
  </si>
  <si>
    <t xml:space="preserve">      4450 Space Rental</t>
  </si>
  <si>
    <t xml:space="preserve">      4440 Archival Fees</t>
  </si>
  <si>
    <t xml:space="preserve">      4430 Admission Fees - Tour/Bulk</t>
  </si>
  <si>
    <t xml:space="preserve">      4420 Admissions - General</t>
  </si>
  <si>
    <t xml:space="preserve">      4410 Presenter &amp; Guide Income</t>
  </si>
  <si>
    <t xml:space="preserve">   4400 Service Income</t>
  </si>
  <si>
    <t xml:space="preserve">   Total 4200 Grants</t>
  </si>
  <si>
    <t xml:space="preserve">      4250 Foundations</t>
  </si>
  <si>
    <t xml:space="preserve">      4240 City of Valdez</t>
  </si>
  <si>
    <t xml:space="preserve">   4200 Grants</t>
  </si>
  <si>
    <t xml:space="preserve">   Total 4030 Donations Income</t>
  </si>
  <si>
    <t xml:space="preserve">      4033 Membership</t>
  </si>
  <si>
    <t xml:space="preserve">   4030 Donations Income</t>
  </si>
  <si>
    <t>Revenue</t>
  </si>
  <si>
    <t>Budget</t>
  </si>
  <si>
    <t>Actual</t>
  </si>
  <si>
    <t>TOTAL</t>
  </si>
  <si>
    <t>Total 03 Programs</t>
  </si>
  <si>
    <t>0303 Education</t>
  </si>
  <si>
    <t>0301 Exhibits</t>
  </si>
  <si>
    <t>Budget vs. Actuals: Budget_FY26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</si>
</sst>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#,##0.00\ _€"/>
    <numFmt numFmtId="166" formatCode="&quot;$&quot;* #,##0.00\ _€"/>
  </numFmts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Arial"/>
    </font>
    <font>
      <b/>
      <sz val="8"/>
      <color indexed="8"/>
      <name val="Arial"/>
    </font>
    <font>
      <b/>
      <sz val="9"/>
      <color indexed="8"/>
      <name val="Arial"/>
    </font>
    <font>
      <b/>
      <sz val="10"/>
      <color indexed="8"/>
      <name val="Arial"/>
    </font>
    <font>
      <b/>
      <sz val="14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1"/>
    <xf numFmtId="0" fontId="1" fillId="0" borderId="0"/>
    <xf numFmtId="0" fontId="1" fillId="0" borderId="2"/>
    <xf numFmtId="0" fontId="8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/>
    </xf>
    <xf numFmtId="0" fontId="4" fillId="0" borderId="1" xfId="1" applyFont="1" applyAlignment="1">
      <alignment horizontal="center"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164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4" fontId="3" fillId="0" borderId="2" xfId="0" applyNumberFormat="1" applyFont="1" applyBorder="1" applyAlignment="1">
      <alignment wrapText="1"/>
    </xf>
    <xf numFmtId="0" fontId="8" fillId="0" borderId="0" xfId="4"/>
    <xf numFmtId="165" fontId="9" fillId="0" borderId="0" xfId="4" applyNumberFormat="1" applyFont="1" applyAlignment="1">
      <alignment wrapText="1"/>
    </xf>
    <xf numFmtId="0" fontId="10" fillId="0" borderId="0" xfId="4" applyFont="1" applyAlignment="1">
      <alignment horizontal="left" wrapText="1"/>
    </xf>
    <xf numFmtId="166" fontId="10" fillId="0" borderId="2" xfId="4" applyNumberFormat="1" applyFont="1" applyBorder="1" applyAlignment="1">
      <alignment horizontal="right" wrapText="1"/>
    </xf>
    <xf numFmtId="165" fontId="9" fillId="0" borderId="0" xfId="4" applyNumberFormat="1" applyFont="1" applyAlignment="1">
      <alignment horizontal="right" wrapText="1"/>
    </xf>
    <xf numFmtId="0" fontId="11" fillId="0" borderId="1" xfId="4" applyFont="1" applyBorder="1" applyAlignment="1">
      <alignment horizontal="center" wrapText="1"/>
    </xf>
    <xf numFmtId="0" fontId="8" fillId="0" borderId="0" xfId="4" applyAlignment="1">
      <alignment wrapText="1"/>
    </xf>
    <xf numFmtId="0" fontId="11" fillId="2" borderId="1" xfId="4" applyFont="1" applyFill="1" applyBorder="1" applyAlignment="1">
      <alignment horizontal="center" wrapText="1"/>
    </xf>
    <xf numFmtId="165" fontId="9" fillId="2" borderId="0" xfId="4" applyNumberFormat="1" applyFont="1" applyFill="1" applyAlignment="1">
      <alignment wrapText="1"/>
    </xf>
    <xf numFmtId="166" fontId="10" fillId="2" borderId="2" xfId="4" applyNumberFormat="1" applyFont="1" applyFill="1" applyBorder="1" applyAlignment="1">
      <alignment horizontal="right" wrapText="1"/>
    </xf>
    <xf numFmtId="165" fontId="9" fillId="2" borderId="0" xfId="4" applyNumberFormat="1" applyFont="1" applyFill="1" applyAlignment="1">
      <alignment horizontal="right" wrapText="1"/>
    </xf>
    <xf numFmtId="0" fontId="11" fillId="3" borderId="1" xfId="4" applyFont="1" applyFill="1" applyBorder="1" applyAlignment="1">
      <alignment horizontal="center" wrapText="1"/>
    </xf>
    <xf numFmtId="165" fontId="9" fillId="3" borderId="0" xfId="4" applyNumberFormat="1" applyFont="1" applyFill="1" applyAlignment="1">
      <alignment wrapText="1"/>
    </xf>
    <xf numFmtId="165" fontId="9" fillId="3" borderId="0" xfId="4" applyNumberFormat="1" applyFont="1" applyFill="1" applyAlignment="1">
      <alignment horizontal="right" wrapText="1"/>
    </xf>
    <xf numFmtId="166" fontId="10" fillId="3" borderId="2" xfId="4" applyNumberFormat="1" applyFont="1" applyFill="1" applyBorder="1" applyAlignment="1">
      <alignment horizontal="right" wrapText="1"/>
    </xf>
    <xf numFmtId="0" fontId="11" fillId="4" borderId="1" xfId="4" applyFont="1" applyFill="1" applyBorder="1" applyAlignment="1">
      <alignment horizontal="center" wrapText="1"/>
    </xf>
    <xf numFmtId="165" fontId="9" fillId="4" borderId="0" xfId="4" applyNumberFormat="1" applyFont="1" applyFill="1" applyAlignment="1">
      <alignment wrapText="1"/>
    </xf>
    <xf numFmtId="166" fontId="10" fillId="4" borderId="2" xfId="4" applyNumberFormat="1" applyFont="1" applyFill="1" applyBorder="1" applyAlignment="1">
      <alignment horizontal="right" wrapText="1"/>
    </xf>
    <xf numFmtId="165" fontId="9" fillId="4" borderId="0" xfId="4" applyNumberFormat="1" applyFont="1" applyFill="1" applyAlignment="1">
      <alignment horizontal="right" wrapText="1"/>
    </xf>
    <xf numFmtId="0" fontId="11" fillId="5" borderId="1" xfId="4" applyFont="1" applyFill="1" applyBorder="1" applyAlignment="1">
      <alignment horizontal="center" wrapText="1"/>
    </xf>
    <xf numFmtId="165" fontId="9" fillId="5" borderId="0" xfId="4" applyNumberFormat="1" applyFont="1" applyFill="1" applyAlignment="1">
      <alignment wrapText="1"/>
    </xf>
    <xf numFmtId="166" fontId="10" fillId="5" borderId="2" xfId="4" applyNumberFormat="1" applyFont="1" applyFill="1" applyBorder="1" applyAlignment="1">
      <alignment horizontal="right" wrapText="1"/>
    </xf>
    <xf numFmtId="165" fontId="9" fillId="5" borderId="0" xfId="4" applyNumberFormat="1" applyFont="1" applyFill="1" applyAlignment="1">
      <alignment horizontal="right" wrapText="1"/>
    </xf>
    <xf numFmtId="0" fontId="11" fillId="6" borderId="1" xfId="4" applyFont="1" applyFill="1" applyBorder="1" applyAlignment="1">
      <alignment horizontal="center" wrapText="1"/>
    </xf>
    <xf numFmtId="165" fontId="9" fillId="6" borderId="0" xfId="4" applyNumberFormat="1" applyFont="1" applyFill="1" applyAlignment="1">
      <alignment wrapText="1"/>
    </xf>
    <xf numFmtId="166" fontId="10" fillId="6" borderId="2" xfId="4" applyNumberFormat="1" applyFont="1" applyFill="1" applyBorder="1" applyAlignment="1">
      <alignment horizontal="right" wrapText="1"/>
    </xf>
    <xf numFmtId="165" fontId="9" fillId="6" borderId="0" xfId="4" applyNumberFormat="1" applyFont="1" applyFill="1" applyAlignment="1">
      <alignment horizontal="right" wrapText="1"/>
    </xf>
    <xf numFmtId="0" fontId="11" fillId="7" borderId="1" xfId="4" applyFont="1" applyFill="1" applyBorder="1" applyAlignment="1">
      <alignment horizontal="center" wrapText="1"/>
    </xf>
    <xf numFmtId="165" fontId="9" fillId="7" borderId="0" xfId="4" applyNumberFormat="1" applyFont="1" applyFill="1" applyAlignment="1">
      <alignment wrapText="1"/>
    </xf>
    <xf numFmtId="166" fontId="10" fillId="7" borderId="2" xfId="4" applyNumberFormat="1" applyFont="1" applyFill="1" applyBorder="1" applyAlignment="1">
      <alignment horizontal="right" wrapText="1"/>
    </xf>
    <xf numFmtId="165" fontId="9" fillId="7" borderId="0" xfId="4" applyNumberFormat="1" applyFont="1" applyFill="1" applyAlignment="1">
      <alignment horizontal="right" wrapText="1"/>
    </xf>
    <xf numFmtId="0" fontId="11" fillId="8" borderId="1" xfId="4" applyFont="1" applyFill="1" applyBorder="1" applyAlignment="1">
      <alignment horizontal="center" wrapText="1"/>
    </xf>
    <xf numFmtId="165" fontId="9" fillId="8" borderId="0" xfId="4" applyNumberFormat="1" applyFont="1" applyFill="1" applyAlignment="1">
      <alignment wrapText="1"/>
    </xf>
    <xf numFmtId="166" fontId="10" fillId="8" borderId="2" xfId="4" applyNumberFormat="1" applyFont="1" applyFill="1" applyBorder="1" applyAlignment="1">
      <alignment horizontal="right" wrapText="1"/>
    </xf>
    <xf numFmtId="165" fontId="9" fillId="8" borderId="0" xfId="4" applyNumberFormat="1" applyFont="1" applyFill="1" applyAlignment="1">
      <alignment horizontal="right" wrapText="1"/>
    </xf>
    <xf numFmtId="0" fontId="11" fillId="9" borderId="1" xfId="4" applyFont="1" applyFill="1" applyBorder="1" applyAlignment="1">
      <alignment horizontal="center" wrapText="1"/>
    </xf>
    <xf numFmtId="165" fontId="9" fillId="9" borderId="0" xfId="4" applyNumberFormat="1" applyFont="1" applyFill="1" applyAlignment="1">
      <alignment wrapText="1"/>
    </xf>
    <xf numFmtId="166" fontId="10" fillId="9" borderId="2" xfId="4" applyNumberFormat="1" applyFont="1" applyFill="1" applyBorder="1" applyAlignment="1">
      <alignment horizontal="right" wrapText="1"/>
    </xf>
    <xf numFmtId="165" fontId="9" fillId="9" borderId="0" xfId="4" applyNumberFormat="1" applyFont="1" applyFill="1" applyAlignment="1">
      <alignment horizontal="right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1" fillId="0" borderId="1" xfId="4" applyFont="1" applyBorder="1" applyAlignment="1">
      <alignment horizontal="center" wrapText="1"/>
    </xf>
    <xf numFmtId="0" fontId="8" fillId="0" borderId="0" xfId="4" applyAlignment="1">
      <alignment wrapText="1"/>
    </xf>
    <xf numFmtId="0" fontId="9" fillId="0" borderId="0" xfId="4" applyFont="1" applyAlignment="1">
      <alignment horizontal="center"/>
    </xf>
    <xf numFmtId="0" fontId="8" fillId="0" borderId="0" xfId="4"/>
    <xf numFmtId="0" fontId="13" fillId="0" borderId="0" xfId="4" applyFont="1" applyAlignment="1">
      <alignment horizontal="center"/>
    </xf>
    <xf numFmtId="0" fontId="12" fillId="0" borderId="0" xfId="4" applyFont="1" applyAlignment="1">
      <alignment horizontal="center"/>
    </xf>
    <xf numFmtId="0" fontId="11" fillId="6" borderId="1" xfId="4" applyFont="1" applyFill="1" applyBorder="1" applyAlignment="1">
      <alignment horizontal="center" wrapText="1"/>
    </xf>
    <xf numFmtId="0" fontId="8" fillId="6" borderId="0" xfId="4" applyFill="1" applyAlignment="1">
      <alignment wrapText="1"/>
    </xf>
    <xf numFmtId="0" fontId="11" fillId="7" borderId="1" xfId="4" applyFont="1" applyFill="1" applyBorder="1" applyAlignment="1">
      <alignment horizontal="center" wrapText="1"/>
    </xf>
    <xf numFmtId="0" fontId="8" fillId="7" borderId="0" xfId="4" applyFill="1" applyAlignment="1">
      <alignment wrapText="1"/>
    </xf>
    <xf numFmtId="0" fontId="11" fillId="8" borderId="1" xfId="4" applyFont="1" applyFill="1" applyBorder="1" applyAlignment="1">
      <alignment horizontal="center" wrapText="1"/>
    </xf>
    <xf numFmtId="0" fontId="8" fillId="8" borderId="0" xfId="4" applyFill="1" applyAlignment="1">
      <alignment wrapText="1"/>
    </xf>
    <xf numFmtId="0" fontId="11" fillId="9" borderId="1" xfId="4" applyFont="1" applyFill="1" applyBorder="1" applyAlignment="1">
      <alignment horizontal="center" wrapText="1"/>
    </xf>
    <xf numFmtId="0" fontId="8" fillId="9" borderId="0" xfId="4" applyFill="1" applyAlignment="1">
      <alignment wrapText="1"/>
    </xf>
    <xf numFmtId="0" fontId="11" fillId="2" borderId="1" xfId="4" applyFont="1" applyFill="1" applyBorder="1" applyAlignment="1">
      <alignment horizontal="center" wrapText="1"/>
    </xf>
    <xf numFmtId="0" fontId="8" fillId="2" borderId="0" xfId="4" applyFill="1" applyAlignment="1">
      <alignment wrapText="1"/>
    </xf>
    <xf numFmtId="0" fontId="11" fillId="3" borderId="1" xfId="4" applyFont="1" applyFill="1" applyBorder="1" applyAlignment="1">
      <alignment horizontal="center" wrapText="1"/>
    </xf>
    <xf numFmtId="0" fontId="8" fillId="3" borderId="0" xfId="4" applyFill="1" applyAlignment="1">
      <alignment wrapText="1"/>
    </xf>
    <xf numFmtId="0" fontId="11" fillId="4" borderId="1" xfId="4" applyFont="1" applyFill="1" applyBorder="1" applyAlignment="1">
      <alignment horizontal="center" wrapText="1"/>
    </xf>
    <xf numFmtId="0" fontId="8" fillId="4" borderId="0" xfId="4" applyFill="1" applyAlignment="1">
      <alignment wrapText="1"/>
    </xf>
    <xf numFmtId="0" fontId="11" fillId="5" borderId="1" xfId="4" applyFont="1" applyFill="1" applyBorder="1" applyAlignment="1">
      <alignment horizontal="center" wrapText="1"/>
    </xf>
    <xf numFmtId="0" fontId="8" fillId="5" borderId="0" xfId="4" applyFill="1" applyAlignment="1">
      <alignment wrapText="1"/>
    </xf>
  </cellXfs>
  <cellStyles count="5">
    <cellStyle name="GroupedCellStyle" xfId="2" xr:uid="{00000000-0005-0000-0000-000007000000}"/>
    <cellStyle name="HeaderCellStyle" xfId="1" xr:uid="{00000000-0005-0000-0000-000006000000}"/>
    <cellStyle name="Normal" xfId="0" builtinId="0"/>
    <cellStyle name="Normal 2" xfId="4" xr:uid="{31966CE9-7103-4505-8A18-D64B46AC940B}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B48"/>
  <sheetViews>
    <sheetView tabSelected="1" workbookViewId="0">
      <selection activeCell="D1" sqref="D1"/>
    </sheetView>
  </sheetViews>
  <sheetFormatPr defaultColWidth="11.25" defaultRowHeight="15.75" outlineLevelRow="2" x14ac:dyDescent="0.25"/>
  <cols>
    <col min="1" max="1" width="37.625" style="1" customWidth="1"/>
    <col min="2" max="2" width="8.375" style="1" customWidth="1"/>
  </cols>
  <sheetData>
    <row r="1" spans="1:2" x14ac:dyDescent="0.25">
      <c r="A1" s="52" t="s">
        <v>0</v>
      </c>
      <c r="B1" s="53"/>
    </row>
    <row r="2" spans="1:2" x14ac:dyDescent="0.25">
      <c r="A2" s="54" t="s">
        <v>1</v>
      </c>
      <c r="B2" s="53"/>
    </row>
    <row r="3" spans="1:2" x14ac:dyDescent="0.25">
      <c r="A3" s="55" t="s">
        <v>2</v>
      </c>
      <c r="B3" s="53"/>
    </row>
    <row r="5" spans="1:2" x14ac:dyDescent="0.25">
      <c r="A5" s="7" t="s">
        <v>42</v>
      </c>
      <c r="B5" s="7" t="s">
        <v>43</v>
      </c>
    </row>
    <row r="6" spans="1:2" x14ac:dyDescent="0.25">
      <c r="A6" s="2" t="s">
        <v>3</v>
      </c>
    </row>
    <row r="7" spans="1:2" outlineLevel="1" x14ac:dyDescent="0.25">
      <c r="A7" s="3" t="s">
        <v>4</v>
      </c>
      <c r="B7" s="8"/>
    </row>
    <row r="8" spans="1:2" outlineLevel="2" x14ac:dyDescent="0.25">
      <c r="A8" s="4" t="s">
        <v>5</v>
      </c>
      <c r="B8" s="9">
        <v>535</v>
      </c>
    </row>
    <row r="9" spans="1:2" outlineLevel="1" x14ac:dyDescent="0.25">
      <c r="A9" s="5" t="s">
        <v>6</v>
      </c>
      <c r="B9" s="10">
        <f>B7+B8</f>
        <v>535</v>
      </c>
    </row>
    <row r="10" spans="1:2" outlineLevel="1" x14ac:dyDescent="0.25">
      <c r="A10" s="3" t="s">
        <v>7</v>
      </c>
      <c r="B10" s="8"/>
    </row>
    <row r="11" spans="1:2" outlineLevel="2" x14ac:dyDescent="0.25">
      <c r="A11" s="4" t="s">
        <v>8</v>
      </c>
      <c r="B11" s="9">
        <v>133750</v>
      </c>
    </row>
    <row r="12" spans="1:2" outlineLevel="1" x14ac:dyDescent="0.25">
      <c r="A12" s="5" t="s">
        <v>9</v>
      </c>
      <c r="B12" s="10">
        <f>B10+B11</f>
        <v>133750</v>
      </c>
    </row>
    <row r="13" spans="1:2" outlineLevel="1" x14ac:dyDescent="0.25">
      <c r="A13" s="3" t="s">
        <v>10</v>
      </c>
      <c r="B13" s="9">
        <v>94.8</v>
      </c>
    </row>
    <row r="14" spans="1:2" x14ac:dyDescent="0.25">
      <c r="A14" s="6" t="s">
        <v>11</v>
      </c>
      <c r="B14" s="10">
        <f>B9+B12+B13</f>
        <v>134379.79999999999</v>
      </c>
    </row>
    <row r="15" spans="1:2" x14ac:dyDescent="0.25">
      <c r="A15" s="6" t="s">
        <v>12</v>
      </c>
      <c r="B15" s="10">
        <v>134379.79999999999</v>
      </c>
    </row>
    <row r="16" spans="1:2" x14ac:dyDescent="0.25">
      <c r="A16" s="2" t="s">
        <v>13</v>
      </c>
    </row>
    <row r="17" spans="1:2" outlineLevel="1" x14ac:dyDescent="0.25">
      <c r="A17" s="3" t="s">
        <v>14</v>
      </c>
      <c r="B17" s="8"/>
    </row>
    <row r="18" spans="1:2" outlineLevel="2" x14ac:dyDescent="0.25">
      <c r="A18" s="4" t="s">
        <v>15</v>
      </c>
      <c r="B18" s="9">
        <v>26911.48</v>
      </c>
    </row>
    <row r="19" spans="1:2" outlineLevel="2" x14ac:dyDescent="0.25">
      <c r="A19" s="4" t="s">
        <v>16</v>
      </c>
      <c r="B19" s="9">
        <v>2322.61</v>
      </c>
    </row>
    <row r="20" spans="1:2" outlineLevel="2" x14ac:dyDescent="0.25">
      <c r="A20" s="4" t="s">
        <v>17</v>
      </c>
      <c r="B20" s="9">
        <v>520</v>
      </c>
    </row>
    <row r="21" spans="1:2" outlineLevel="2" x14ac:dyDescent="0.25">
      <c r="A21" s="4" t="s">
        <v>18</v>
      </c>
      <c r="B21" s="9">
        <v>13256.4</v>
      </c>
    </row>
    <row r="22" spans="1:2" outlineLevel="1" x14ac:dyDescent="0.25">
      <c r="A22" s="5" t="s">
        <v>19</v>
      </c>
      <c r="B22" s="10">
        <f>B17+B18+B19+B20+B21</f>
        <v>43010.49</v>
      </c>
    </row>
    <row r="23" spans="1:2" outlineLevel="1" x14ac:dyDescent="0.25">
      <c r="A23" s="3" t="s">
        <v>20</v>
      </c>
      <c r="B23" s="8"/>
    </row>
    <row r="24" spans="1:2" outlineLevel="2" x14ac:dyDescent="0.25">
      <c r="A24" s="4" t="s">
        <v>21</v>
      </c>
      <c r="B24" s="9">
        <v>1720</v>
      </c>
    </row>
    <row r="25" spans="1:2" outlineLevel="2" x14ac:dyDescent="0.25">
      <c r="A25" s="4" t="s">
        <v>22</v>
      </c>
      <c r="B25" s="9">
        <v>677</v>
      </c>
    </row>
    <row r="26" spans="1:2" outlineLevel="2" x14ac:dyDescent="0.25">
      <c r="A26" s="4" t="s">
        <v>23</v>
      </c>
      <c r="B26" s="9">
        <v>60</v>
      </c>
    </row>
    <row r="27" spans="1:2" outlineLevel="1" x14ac:dyDescent="0.25">
      <c r="A27" s="5" t="s">
        <v>24</v>
      </c>
      <c r="B27" s="10">
        <f>B23+B24+B25+B26</f>
        <v>2457</v>
      </c>
    </row>
    <row r="28" spans="1:2" outlineLevel="1" x14ac:dyDescent="0.25">
      <c r="A28" s="3" t="s">
        <v>25</v>
      </c>
      <c r="B28" s="9">
        <v>232</v>
      </c>
    </row>
    <row r="29" spans="1:2" outlineLevel="1" x14ac:dyDescent="0.25">
      <c r="A29" s="3" t="s">
        <v>26</v>
      </c>
      <c r="B29" s="8"/>
    </row>
    <row r="30" spans="1:2" outlineLevel="2" x14ac:dyDescent="0.25">
      <c r="A30" s="4" t="s">
        <v>27</v>
      </c>
      <c r="B30" s="9">
        <v>60.09</v>
      </c>
    </row>
    <row r="31" spans="1:2" outlineLevel="2" x14ac:dyDescent="0.25">
      <c r="A31" s="4" t="s">
        <v>28</v>
      </c>
      <c r="B31" s="9">
        <v>6946.25</v>
      </c>
    </row>
    <row r="32" spans="1:2" outlineLevel="2" x14ac:dyDescent="0.25">
      <c r="A32" s="4" t="s">
        <v>29</v>
      </c>
      <c r="B32" s="9">
        <v>1800</v>
      </c>
    </row>
    <row r="33" spans="1:2" outlineLevel="2" x14ac:dyDescent="0.25">
      <c r="A33" s="4" t="s">
        <v>30</v>
      </c>
      <c r="B33" s="9">
        <v>573.48</v>
      </c>
    </row>
    <row r="34" spans="1:2" outlineLevel="2" x14ac:dyDescent="0.25">
      <c r="A34" s="4" t="s">
        <v>31</v>
      </c>
      <c r="B34" s="9">
        <v>90</v>
      </c>
    </row>
    <row r="35" spans="1:2" outlineLevel="2" x14ac:dyDescent="0.25">
      <c r="A35" s="4" t="s">
        <v>32</v>
      </c>
      <c r="B35" s="9">
        <v>8.89</v>
      </c>
    </row>
    <row r="36" spans="1:2" outlineLevel="2" x14ac:dyDescent="0.25">
      <c r="A36" s="4" t="s">
        <v>33</v>
      </c>
      <c r="B36" s="9">
        <v>395</v>
      </c>
    </row>
    <row r="37" spans="1:2" outlineLevel="2" x14ac:dyDescent="0.25">
      <c r="A37" s="4" t="s">
        <v>34</v>
      </c>
      <c r="B37" s="9">
        <v>260.44</v>
      </c>
    </row>
    <row r="38" spans="1:2" outlineLevel="2" x14ac:dyDescent="0.25">
      <c r="A38" s="4" t="s">
        <v>35</v>
      </c>
      <c r="B38" s="9">
        <v>2.57</v>
      </c>
    </row>
    <row r="39" spans="1:2" outlineLevel="2" x14ac:dyDescent="0.25">
      <c r="A39" s="4" t="s">
        <v>36</v>
      </c>
      <c r="B39" s="9">
        <v>9</v>
      </c>
    </row>
    <row r="40" spans="1:2" outlineLevel="1" x14ac:dyDescent="0.25">
      <c r="A40" s="5" t="s">
        <v>37</v>
      </c>
      <c r="B40" s="10">
        <f>B29+B30+B31+B32+B33+B34+B35+B36+B37+B38+B39</f>
        <v>10145.719999999999</v>
      </c>
    </row>
    <row r="41" spans="1:2" x14ac:dyDescent="0.25">
      <c r="A41" s="6" t="s">
        <v>38</v>
      </c>
      <c r="B41" s="10">
        <f>B22+B27+B28+B40</f>
        <v>55845.21</v>
      </c>
    </row>
    <row r="42" spans="1:2" x14ac:dyDescent="0.25">
      <c r="A42" s="6" t="s">
        <v>39</v>
      </c>
      <c r="B42" s="10">
        <v>78534.59</v>
      </c>
    </row>
    <row r="43" spans="1:2" x14ac:dyDescent="0.25">
      <c r="A43" s="6" t="s">
        <v>40</v>
      </c>
      <c r="B43" s="11"/>
    </row>
    <row r="44" spans="1:2" x14ac:dyDescent="0.25">
      <c r="A44" s="6" t="s">
        <v>41</v>
      </c>
      <c r="B44" s="10">
        <v>78534.59</v>
      </c>
    </row>
    <row r="48" spans="1:2" x14ac:dyDescent="0.25">
      <c r="A48" s="56" t="s">
        <v>44</v>
      </c>
      <c r="B48" s="53"/>
    </row>
  </sheetData>
  <mergeCells count="4">
    <mergeCell ref="A1:B1"/>
    <mergeCell ref="A2:B2"/>
    <mergeCell ref="A3:B3"/>
    <mergeCell ref="A48:B48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90B89-D818-4301-B67D-BC3B26C622C8}">
  <dimension ref="A1:J48"/>
  <sheetViews>
    <sheetView workbookViewId="0">
      <selection activeCell="N10" sqref="N10"/>
    </sheetView>
  </sheetViews>
  <sheetFormatPr defaultColWidth="11.25" defaultRowHeight="15.75" outlineLevelRow="2" x14ac:dyDescent="0.25"/>
  <cols>
    <col min="1" max="1" width="37.625" style="1" customWidth="1"/>
    <col min="2" max="2" width="17" style="1" customWidth="1"/>
    <col min="3" max="3" width="12.625" style="1" customWidth="1"/>
    <col min="4" max="4" width="10.125" style="1" hidden="1" customWidth="1"/>
    <col min="5" max="5" width="12.625" style="1" customWidth="1"/>
    <col min="6" max="6" width="14.375" style="1" customWidth="1"/>
    <col min="7" max="7" width="17" style="1" customWidth="1"/>
    <col min="8" max="8" width="10.125" style="1" customWidth="1"/>
    <col min="9" max="9" width="18.625" style="1" hidden="1" customWidth="1"/>
    <col min="10" max="10" width="8.375" style="1" customWidth="1"/>
  </cols>
  <sheetData>
    <row r="1" spans="1:10" x14ac:dyDescent="0.2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x14ac:dyDescent="0.25">
      <c r="A2" s="54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55" t="s">
        <v>2</v>
      </c>
      <c r="B3" s="53"/>
      <c r="C3" s="53"/>
      <c r="D3" s="53"/>
      <c r="E3" s="53"/>
      <c r="F3" s="53"/>
      <c r="G3" s="53"/>
      <c r="H3" s="53"/>
      <c r="I3" s="53"/>
      <c r="J3" s="53"/>
    </row>
    <row r="5" spans="1:10" x14ac:dyDescent="0.25">
      <c r="A5" s="7" t="s">
        <v>42</v>
      </c>
      <c r="B5" s="7" t="s">
        <v>53</v>
      </c>
      <c r="C5" s="7" t="s">
        <v>52</v>
      </c>
      <c r="D5" s="7" t="s">
        <v>51</v>
      </c>
      <c r="E5" s="7" t="s">
        <v>50</v>
      </c>
      <c r="F5" s="7" t="s">
        <v>49</v>
      </c>
      <c r="G5" s="7" t="s">
        <v>48</v>
      </c>
      <c r="H5" s="7" t="s">
        <v>47</v>
      </c>
      <c r="I5" s="7" t="s">
        <v>46</v>
      </c>
      <c r="J5" s="7" t="s">
        <v>43</v>
      </c>
    </row>
    <row r="6" spans="1:10" x14ac:dyDescent="0.25">
      <c r="A6" s="2" t="s">
        <v>3</v>
      </c>
      <c r="B6" s="8"/>
      <c r="C6" s="8"/>
      <c r="D6" s="8"/>
      <c r="E6" s="8"/>
      <c r="F6" s="8"/>
      <c r="G6" s="8"/>
      <c r="H6" s="8"/>
      <c r="I6" s="8"/>
    </row>
    <row r="7" spans="1:10" outlineLevel="1" x14ac:dyDescent="0.25">
      <c r="A7" s="3" t="s">
        <v>4</v>
      </c>
      <c r="B7" s="8"/>
      <c r="C7" s="8"/>
      <c r="D7" s="8"/>
      <c r="E7" s="8"/>
      <c r="F7" s="8"/>
      <c r="G7" s="8"/>
      <c r="H7" s="8"/>
      <c r="I7" s="8"/>
      <c r="J7" s="8"/>
    </row>
    <row r="8" spans="1:10" outlineLevel="2" x14ac:dyDescent="0.25">
      <c r="A8" s="4" t="s">
        <v>5</v>
      </c>
      <c r="B8" s="8"/>
      <c r="C8" s="9">
        <v>535</v>
      </c>
      <c r="D8" s="8"/>
      <c r="E8" s="8"/>
      <c r="F8" s="8"/>
      <c r="G8" s="8"/>
      <c r="H8" s="8"/>
      <c r="I8" s="8"/>
      <c r="J8" s="9">
        <f>B8+C8+I8</f>
        <v>535</v>
      </c>
    </row>
    <row r="9" spans="1:10" outlineLevel="1" x14ac:dyDescent="0.25">
      <c r="A9" s="5" t="s">
        <v>6</v>
      </c>
      <c r="B9" s="12"/>
      <c r="C9" s="12">
        <f>C7+C8</f>
        <v>535</v>
      </c>
      <c r="D9" s="12"/>
      <c r="E9" s="12"/>
      <c r="F9" s="12"/>
      <c r="G9" s="12"/>
      <c r="H9" s="12"/>
      <c r="I9" s="12"/>
      <c r="J9" s="10">
        <f>B9+C9+I9</f>
        <v>535</v>
      </c>
    </row>
    <row r="10" spans="1:10" outlineLevel="1" x14ac:dyDescent="0.25">
      <c r="A10" s="3" t="s">
        <v>7</v>
      </c>
      <c r="B10" s="8"/>
      <c r="C10" s="8"/>
      <c r="D10" s="8"/>
      <c r="E10" s="8"/>
      <c r="F10" s="8"/>
      <c r="G10" s="8"/>
      <c r="H10" s="8"/>
      <c r="I10" s="8"/>
      <c r="J10" s="8"/>
    </row>
    <row r="11" spans="1:10" outlineLevel="2" x14ac:dyDescent="0.25">
      <c r="A11" s="4" t="s">
        <v>8</v>
      </c>
      <c r="B11" s="8"/>
      <c r="C11" s="9">
        <v>133750</v>
      </c>
      <c r="D11" s="8"/>
      <c r="E11" s="8"/>
      <c r="F11" s="8"/>
      <c r="G11" s="8"/>
      <c r="H11" s="8"/>
      <c r="I11" s="8"/>
      <c r="J11" s="9">
        <f>B11+C11+I11</f>
        <v>133750</v>
      </c>
    </row>
    <row r="12" spans="1:10" outlineLevel="1" x14ac:dyDescent="0.25">
      <c r="A12" s="5" t="s">
        <v>9</v>
      </c>
      <c r="B12" s="12"/>
      <c r="C12" s="12">
        <f>C10+C11</f>
        <v>133750</v>
      </c>
      <c r="D12" s="12"/>
      <c r="E12" s="12"/>
      <c r="F12" s="12"/>
      <c r="G12" s="12"/>
      <c r="H12" s="12"/>
      <c r="I12" s="12"/>
      <c r="J12" s="10">
        <f>B12+C12+I12</f>
        <v>133750</v>
      </c>
    </row>
    <row r="13" spans="1:10" outlineLevel="1" x14ac:dyDescent="0.25">
      <c r="A13" s="3" t="s">
        <v>10</v>
      </c>
      <c r="B13" s="8"/>
      <c r="C13" s="8"/>
      <c r="D13" s="8"/>
      <c r="E13" s="8"/>
      <c r="F13" s="8"/>
      <c r="G13" s="9">
        <v>94.8</v>
      </c>
      <c r="H13" s="8"/>
      <c r="I13" s="9">
        <f>H13+G13+F13+E13+D13</f>
        <v>94.8</v>
      </c>
      <c r="J13" s="9">
        <f>B13+C13+I13</f>
        <v>94.8</v>
      </c>
    </row>
    <row r="14" spans="1:10" x14ac:dyDescent="0.25">
      <c r="A14" s="6" t="s">
        <v>11</v>
      </c>
      <c r="B14" s="12"/>
      <c r="C14" s="12">
        <f>C9+C12+C13</f>
        <v>134285</v>
      </c>
      <c r="D14" s="12"/>
      <c r="E14" s="12"/>
      <c r="F14" s="12"/>
      <c r="G14" s="12">
        <f>G9+G12+G13</f>
        <v>94.8</v>
      </c>
      <c r="H14" s="12"/>
      <c r="I14" s="12">
        <f>H14+G14+F14+E14+D14</f>
        <v>94.8</v>
      </c>
      <c r="J14" s="10">
        <f>B14+C14+I14</f>
        <v>134379.79999999999</v>
      </c>
    </row>
    <row r="15" spans="1:10" x14ac:dyDescent="0.25">
      <c r="A15" s="6" t="s">
        <v>12</v>
      </c>
      <c r="B15" s="12"/>
      <c r="C15" s="12">
        <v>134285</v>
      </c>
      <c r="D15" s="12"/>
      <c r="E15" s="12"/>
      <c r="F15" s="12"/>
      <c r="G15" s="12">
        <v>94.8</v>
      </c>
      <c r="H15" s="12"/>
      <c r="I15" s="12">
        <v>94.8</v>
      </c>
      <c r="J15" s="10">
        <v>134379.79999999999</v>
      </c>
    </row>
    <row r="16" spans="1:10" x14ac:dyDescent="0.25">
      <c r="A16" s="2" t="s">
        <v>13</v>
      </c>
      <c r="B16" s="8"/>
      <c r="C16" s="8"/>
      <c r="D16" s="8"/>
      <c r="E16" s="8"/>
      <c r="F16" s="8"/>
      <c r="G16" s="8"/>
      <c r="H16" s="8"/>
      <c r="I16" s="8"/>
    </row>
    <row r="17" spans="1:10" outlineLevel="1" x14ac:dyDescent="0.25">
      <c r="A17" s="3" t="s">
        <v>14</v>
      </c>
      <c r="B17" s="8"/>
      <c r="C17" s="8"/>
      <c r="D17" s="8"/>
      <c r="E17" s="8"/>
      <c r="F17" s="8"/>
      <c r="G17" s="8"/>
      <c r="H17" s="8"/>
      <c r="I17" s="8"/>
      <c r="J17" s="8"/>
    </row>
    <row r="18" spans="1:10" outlineLevel="2" x14ac:dyDescent="0.25">
      <c r="A18" s="4" t="s">
        <v>15</v>
      </c>
      <c r="B18" s="9">
        <v>26911.48</v>
      </c>
      <c r="C18" s="8"/>
      <c r="D18" s="8"/>
      <c r="E18" s="8"/>
      <c r="F18" s="8"/>
      <c r="G18" s="8"/>
      <c r="H18" s="8"/>
      <c r="I18" s="8"/>
      <c r="J18" s="9">
        <f>B18+C18+I18</f>
        <v>26911.48</v>
      </c>
    </row>
    <row r="19" spans="1:10" outlineLevel="2" x14ac:dyDescent="0.25">
      <c r="A19" s="4" t="s">
        <v>16</v>
      </c>
      <c r="B19" s="9">
        <v>2322.61</v>
      </c>
      <c r="C19" s="8"/>
      <c r="D19" s="8"/>
      <c r="E19" s="8"/>
      <c r="F19" s="8"/>
      <c r="G19" s="8"/>
      <c r="H19" s="8"/>
      <c r="I19" s="8"/>
      <c r="J19" s="9">
        <f>B19+C19+I19</f>
        <v>2322.61</v>
      </c>
    </row>
    <row r="20" spans="1:10" outlineLevel="2" x14ac:dyDescent="0.25">
      <c r="A20" s="4" t="s">
        <v>17</v>
      </c>
      <c r="B20" s="9">
        <v>520</v>
      </c>
      <c r="C20" s="8"/>
      <c r="D20" s="8"/>
      <c r="E20" s="8"/>
      <c r="F20" s="8"/>
      <c r="G20" s="8"/>
      <c r="H20" s="8"/>
      <c r="I20" s="8"/>
      <c r="J20" s="9">
        <f>B20+C20+I20</f>
        <v>520</v>
      </c>
    </row>
    <row r="21" spans="1:10" outlineLevel="2" x14ac:dyDescent="0.25">
      <c r="A21" s="4" t="s">
        <v>18</v>
      </c>
      <c r="B21" s="9">
        <v>13256.4</v>
      </c>
      <c r="C21" s="8"/>
      <c r="D21" s="8"/>
      <c r="E21" s="8"/>
      <c r="F21" s="8"/>
      <c r="G21" s="8"/>
      <c r="H21" s="8"/>
      <c r="I21" s="8"/>
      <c r="J21" s="9">
        <f>B21+C21+I21</f>
        <v>13256.4</v>
      </c>
    </row>
    <row r="22" spans="1:10" outlineLevel="1" x14ac:dyDescent="0.25">
      <c r="A22" s="5" t="s">
        <v>19</v>
      </c>
      <c r="B22" s="12">
        <f>B17+B18+B19+B20+B21</f>
        <v>43010.49</v>
      </c>
      <c r="C22" s="12"/>
      <c r="D22" s="12"/>
      <c r="E22" s="12"/>
      <c r="F22" s="12"/>
      <c r="G22" s="12"/>
      <c r="H22" s="12"/>
      <c r="I22" s="12"/>
      <c r="J22" s="10">
        <f>B22+C22+I22</f>
        <v>43010.49</v>
      </c>
    </row>
    <row r="23" spans="1:10" outlineLevel="1" x14ac:dyDescent="0.25">
      <c r="A23" s="3" t="s">
        <v>20</v>
      </c>
      <c r="B23" s="8"/>
      <c r="C23" s="8"/>
      <c r="D23" s="8"/>
      <c r="E23" s="8"/>
      <c r="F23" s="8"/>
      <c r="G23" s="8"/>
      <c r="H23" s="8"/>
      <c r="I23" s="8"/>
      <c r="J23" s="8"/>
    </row>
    <row r="24" spans="1:10" outlineLevel="2" x14ac:dyDescent="0.25">
      <c r="A24" s="4" t="s">
        <v>21</v>
      </c>
      <c r="B24" s="9">
        <v>1720</v>
      </c>
      <c r="C24" s="8"/>
      <c r="D24" s="8"/>
      <c r="E24" s="8"/>
      <c r="F24" s="8"/>
      <c r="G24" s="8"/>
      <c r="H24" s="8"/>
      <c r="I24" s="8"/>
      <c r="J24" s="9">
        <f>B24+C24+I24</f>
        <v>1720</v>
      </c>
    </row>
    <row r="25" spans="1:10" outlineLevel="2" x14ac:dyDescent="0.25">
      <c r="A25" s="4" t="s">
        <v>22</v>
      </c>
      <c r="B25" s="9">
        <v>677</v>
      </c>
      <c r="C25" s="8"/>
      <c r="D25" s="8"/>
      <c r="E25" s="8"/>
      <c r="F25" s="8"/>
      <c r="G25" s="8"/>
      <c r="H25" s="8"/>
      <c r="I25" s="8"/>
      <c r="J25" s="9">
        <f>B25+C25+I25</f>
        <v>677</v>
      </c>
    </row>
    <row r="26" spans="1:10" outlineLevel="2" x14ac:dyDescent="0.25">
      <c r="A26" s="4" t="s">
        <v>23</v>
      </c>
      <c r="B26" s="8"/>
      <c r="C26" s="8"/>
      <c r="D26" s="8"/>
      <c r="E26" s="8"/>
      <c r="F26" s="8"/>
      <c r="G26" s="8"/>
      <c r="H26" s="9">
        <v>60</v>
      </c>
      <c r="I26" s="9">
        <f>H26+G26+F26+E26+D26</f>
        <v>60</v>
      </c>
      <c r="J26" s="9">
        <f>B26+C26+I26</f>
        <v>60</v>
      </c>
    </row>
    <row r="27" spans="1:10" outlineLevel="1" x14ac:dyDescent="0.25">
      <c r="A27" s="5" t="s">
        <v>24</v>
      </c>
      <c r="B27" s="12">
        <f>B23+B24+B25+B26</f>
        <v>2397</v>
      </c>
      <c r="C27" s="12"/>
      <c r="D27" s="12"/>
      <c r="E27" s="12"/>
      <c r="F27" s="12"/>
      <c r="G27" s="12"/>
      <c r="H27" s="12">
        <f>H23+H24+H25+H26</f>
        <v>60</v>
      </c>
      <c r="I27" s="12">
        <f>H27+G27+F27+E27+D27</f>
        <v>60</v>
      </c>
      <c r="J27" s="10">
        <f>B27+C27+I27</f>
        <v>2457</v>
      </c>
    </row>
    <row r="28" spans="1:10" outlineLevel="1" x14ac:dyDescent="0.25">
      <c r="A28" s="3" t="s">
        <v>25</v>
      </c>
      <c r="B28" s="8"/>
      <c r="C28" s="8"/>
      <c r="D28" s="8"/>
      <c r="E28" s="9">
        <v>232</v>
      </c>
      <c r="F28" s="8"/>
      <c r="G28" s="8"/>
      <c r="H28" s="8"/>
      <c r="I28" s="9">
        <f>H28+G28+F28+E28+D28</f>
        <v>232</v>
      </c>
      <c r="J28" s="9">
        <f>B28+C28+I28</f>
        <v>232</v>
      </c>
    </row>
    <row r="29" spans="1:10" outlineLevel="1" x14ac:dyDescent="0.25">
      <c r="A29" s="3" t="s">
        <v>26</v>
      </c>
      <c r="B29" s="8"/>
      <c r="C29" s="8"/>
      <c r="D29" s="8"/>
      <c r="E29" s="8"/>
      <c r="F29" s="8"/>
      <c r="G29" s="8"/>
      <c r="H29" s="8"/>
      <c r="I29" s="8"/>
      <c r="J29" s="8"/>
    </row>
    <row r="30" spans="1:10" outlineLevel="2" x14ac:dyDescent="0.25">
      <c r="A30" s="4" t="s">
        <v>27</v>
      </c>
      <c r="B30" s="8"/>
      <c r="C30" s="8"/>
      <c r="D30" s="8"/>
      <c r="E30" s="8"/>
      <c r="F30" s="8"/>
      <c r="G30" s="8"/>
      <c r="H30" s="9">
        <v>60.09</v>
      </c>
      <c r="I30" s="9">
        <f>H30+G30+F30+E30+D30</f>
        <v>60.09</v>
      </c>
      <c r="J30" s="9">
        <f t="shared" ref="J30:J42" si="0">B30+C30+I30</f>
        <v>60.09</v>
      </c>
    </row>
    <row r="31" spans="1:10" outlineLevel="2" x14ac:dyDescent="0.25">
      <c r="A31" s="4" t="s">
        <v>28</v>
      </c>
      <c r="B31" s="9">
        <v>6946.25</v>
      </c>
      <c r="C31" s="8"/>
      <c r="D31" s="8"/>
      <c r="E31" s="8"/>
      <c r="F31" s="8"/>
      <c r="G31" s="8"/>
      <c r="H31" s="8"/>
      <c r="I31" s="8"/>
      <c r="J31" s="9">
        <f t="shared" si="0"/>
        <v>6946.25</v>
      </c>
    </row>
    <row r="32" spans="1:10" outlineLevel="2" x14ac:dyDescent="0.25">
      <c r="A32" s="4" t="s">
        <v>29</v>
      </c>
      <c r="B32" s="9">
        <v>1800</v>
      </c>
      <c r="C32" s="8"/>
      <c r="D32" s="8"/>
      <c r="E32" s="8"/>
      <c r="F32" s="8"/>
      <c r="G32" s="8"/>
      <c r="H32" s="8"/>
      <c r="I32" s="8"/>
      <c r="J32" s="9">
        <f t="shared" si="0"/>
        <v>1800</v>
      </c>
    </row>
    <row r="33" spans="1:10" outlineLevel="2" x14ac:dyDescent="0.25">
      <c r="A33" s="4" t="s">
        <v>30</v>
      </c>
      <c r="B33" s="9">
        <v>573.48</v>
      </c>
      <c r="C33" s="8"/>
      <c r="D33" s="8"/>
      <c r="E33" s="8"/>
      <c r="F33" s="8"/>
      <c r="G33" s="8"/>
      <c r="H33" s="8"/>
      <c r="I33" s="8"/>
      <c r="J33" s="9">
        <f t="shared" si="0"/>
        <v>573.48</v>
      </c>
    </row>
    <row r="34" spans="1:10" outlineLevel="2" x14ac:dyDescent="0.25">
      <c r="A34" s="4" t="s">
        <v>31</v>
      </c>
      <c r="B34" s="9">
        <v>90</v>
      </c>
      <c r="C34" s="8"/>
      <c r="D34" s="8"/>
      <c r="E34" s="8"/>
      <c r="F34" s="8"/>
      <c r="G34" s="8"/>
      <c r="H34" s="8"/>
      <c r="I34" s="8"/>
      <c r="J34" s="9">
        <f t="shared" si="0"/>
        <v>90</v>
      </c>
    </row>
    <row r="35" spans="1:10" outlineLevel="2" x14ac:dyDescent="0.25">
      <c r="A35" s="4" t="s">
        <v>32</v>
      </c>
      <c r="B35" s="8"/>
      <c r="C35" s="8"/>
      <c r="D35" s="8"/>
      <c r="E35" s="8"/>
      <c r="F35" s="9">
        <v>8.89</v>
      </c>
      <c r="G35" s="8"/>
      <c r="H35" s="8"/>
      <c r="I35" s="9">
        <f>H35+G35+F35+E35+D35</f>
        <v>8.89</v>
      </c>
      <c r="J35" s="9">
        <f t="shared" si="0"/>
        <v>8.89</v>
      </c>
    </row>
    <row r="36" spans="1:10" outlineLevel="2" x14ac:dyDescent="0.25">
      <c r="A36" s="4" t="s">
        <v>33</v>
      </c>
      <c r="B36" s="9">
        <v>275</v>
      </c>
      <c r="C36" s="8"/>
      <c r="D36" s="8"/>
      <c r="E36" s="8"/>
      <c r="F36" s="8"/>
      <c r="G36" s="9">
        <v>120</v>
      </c>
      <c r="H36" s="8"/>
      <c r="I36" s="9">
        <f>H36+G36+F36+E36+D36</f>
        <v>120</v>
      </c>
      <c r="J36" s="9">
        <f t="shared" si="0"/>
        <v>395</v>
      </c>
    </row>
    <row r="37" spans="1:10" outlineLevel="2" x14ac:dyDescent="0.25">
      <c r="A37" s="4" t="s">
        <v>34</v>
      </c>
      <c r="B37" s="9">
        <v>260.44</v>
      </c>
      <c r="C37" s="8"/>
      <c r="D37" s="8"/>
      <c r="E37" s="8"/>
      <c r="F37" s="8"/>
      <c r="G37" s="8"/>
      <c r="H37" s="8"/>
      <c r="I37" s="8"/>
      <c r="J37" s="9">
        <f t="shared" si="0"/>
        <v>260.44</v>
      </c>
    </row>
    <row r="38" spans="1:10" outlineLevel="2" x14ac:dyDescent="0.25">
      <c r="A38" s="4" t="s">
        <v>35</v>
      </c>
      <c r="B38" s="9">
        <v>2.57</v>
      </c>
      <c r="C38" s="8"/>
      <c r="D38" s="8"/>
      <c r="E38" s="8"/>
      <c r="F38" s="8"/>
      <c r="G38" s="8"/>
      <c r="H38" s="8"/>
      <c r="I38" s="8"/>
      <c r="J38" s="9">
        <f t="shared" si="0"/>
        <v>2.57</v>
      </c>
    </row>
    <row r="39" spans="1:10" outlineLevel="2" x14ac:dyDescent="0.25">
      <c r="A39" s="4" t="s">
        <v>36</v>
      </c>
      <c r="B39" s="9">
        <v>9</v>
      </c>
      <c r="C39" s="8"/>
      <c r="D39" s="8"/>
      <c r="E39" s="8"/>
      <c r="F39" s="8"/>
      <c r="G39" s="8"/>
      <c r="H39" s="8"/>
      <c r="I39" s="8"/>
      <c r="J39" s="9">
        <f t="shared" si="0"/>
        <v>9</v>
      </c>
    </row>
    <row r="40" spans="1:10" outlineLevel="1" x14ac:dyDescent="0.25">
      <c r="A40" s="5" t="s">
        <v>37</v>
      </c>
      <c r="B40" s="12">
        <f>B29+B30+B31+B32+B33+B34+B35+B36+B37+B38+B39</f>
        <v>9956.74</v>
      </c>
      <c r="C40" s="12"/>
      <c r="D40" s="12"/>
      <c r="E40" s="12"/>
      <c r="F40" s="12">
        <f>F29+F30+F31+F32+F33+F34+F35+F36+F37+F38+F39</f>
        <v>8.89</v>
      </c>
      <c r="G40" s="12">
        <f>G29+G30+G31+G32+G33+G34+G35+G36+G37+G38+G39</f>
        <v>120</v>
      </c>
      <c r="H40" s="12">
        <f>H29+H30+H31+H32+H33+H34+H35+H36+H37+H38+H39</f>
        <v>60.09</v>
      </c>
      <c r="I40" s="12">
        <f>H40+G40+F40+E40+D40</f>
        <v>188.98000000000002</v>
      </c>
      <c r="J40" s="10">
        <f t="shared" si="0"/>
        <v>10145.719999999999</v>
      </c>
    </row>
    <row r="41" spans="1:10" x14ac:dyDescent="0.25">
      <c r="A41" s="6" t="s">
        <v>38</v>
      </c>
      <c r="B41" s="12">
        <f>B22+B27+B28+B40</f>
        <v>55364.229999999996</v>
      </c>
      <c r="C41" s="12"/>
      <c r="D41" s="12"/>
      <c r="E41" s="12">
        <f>E22+E27+E28+E40</f>
        <v>232</v>
      </c>
      <c r="F41" s="12">
        <f>F22+F27+F28+F40</f>
        <v>8.89</v>
      </c>
      <c r="G41" s="12">
        <f>G22+G27+G28+G40</f>
        <v>120</v>
      </c>
      <c r="H41" s="12">
        <f>H22+H27+H28+H40</f>
        <v>120.09</v>
      </c>
      <c r="I41" s="12">
        <f>H41+G41+F41+E41+D41</f>
        <v>480.98</v>
      </c>
      <c r="J41" s="10">
        <f t="shared" si="0"/>
        <v>55845.21</v>
      </c>
    </row>
    <row r="42" spans="1:10" x14ac:dyDescent="0.25">
      <c r="A42" s="6" t="s">
        <v>39</v>
      </c>
      <c r="B42" s="12">
        <v>-55364.229999999996</v>
      </c>
      <c r="C42" s="12">
        <v>134285</v>
      </c>
      <c r="D42" s="11"/>
      <c r="E42" s="12">
        <v>-232</v>
      </c>
      <c r="F42" s="12">
        <v>-8.89</v>
      </c>
      <c r="G42" s="12">
        <v>-25.200000000000003</v>
      </c>
      <c r="H42" s="12">
        <v>-120.09</v>
      </c>
      <c r="I42" s="12">
        <f>H42+G42+F42+E42+D42</f>
        <v>-386.18</v>
      </c>
      <c r="J42" s="10">
        <f t="shared" si="0"/>
        <v>78534.590000000011</v>
      </c>
    </row>
    <row r="43" spans="1:10" x14ac:dyDescent="0.25">
      <c r="A43" s="6" t="s">
        <v>40</v>
      </c>
      <c r="B43" s="11"/>
      <c r="C43" s="11"/>
      <c r="D43" s="11"/>
      <c r="E43" s="11"/>
      <c r="F43" s="11"/>
      <c r="G43" s="11"/>
      <c r="H43" s="11"/>
      <c r="I43" s="11"/>
      <c r="J43" s="11"/>
    </row>
    <row r="44" spans="1:10" x14ac:dyDescent="0.25">
      <c r="A44" s="6" t="s">
        <v>41</v>
      </c>
      <c r="B44" s="12">
        <v>-55364.229999999996</v>
      </c>
      <c r="C44" s="12">
        <v>134285</v>
      </c>
      <c r="D44" s="11"/>
      <c r="E44" s="12">
        <v>-232</v>
      </c>
      <c r="F44" s="12">
        <v>-8.89</v>
      </c>
      <c r="G44" s="12">
        <v>-25.200000000000003</v>
      </c>
      <c r="H44" s="12">
        <v>-120.09</v>
      </c>
      <c r="I44" s="12">
        <f>H44+G44+F44+E44+D44</f>
        <v>-386.18</v>
      </c>
      <c r="J44" s="10">
        <f>B44+C44+I44</f>
        <v>78534.590000000011</v>
      </c>
    </row>
    <row r="48" spans="1:10" x14ac:dyDescent="0.25">
      <c r="A48" s="56" t="s">
        <v>45</v>
      </c>
      <c r="B48" s="53"/>
      <c r="C48" s="53"/>
      <c r="D48" s="53"/>
      <c r="E48" s="53"/>
      <c r="F48" s="53"/>
      <c r="G48" s="53"/>
      <c r="H48" s="53"/>
      <c r="I48" s="53"/>
      <c r="J48" s="53"/>
    </row>
  </sheetData>
  <mergeCells count="4">
    <mergeCell ref="A1:J1"/>
    <mergeCell ref="A2:J2"/>
    <mergeCell ref="A3:J3"/>
    <mergeCell ref="A48:J48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F0C67-05CF-44C2-9FB5-ACB52395BC1E}">
  <dimension ref="A1:W64"/>
  <sheetViews>
    <sheetView topLeftCell="A3" workbookViewId="0">
      <selection activeCell="Y17" sqref="Y17"/>
    </sheetView>
  </sheetViews>
  <sheetFormatPr defaultColWidth="8.75" defaultRowHeight="15" x14ac:dyDescent="0.25"/>
  <cols>
    <col min="1" max="1" width="33.25" style="13" customWidth="1"/>
    <col min="2" max="3" width="10.125" style="13" customWidth="1"/>
    <col min="4" max="4" width="9.25" style="13" customWidth="1"/>
    <col min="5" max="5" width="8.5" style="13" customWidth="1"/>
    <col min="6" max="7" width="7" style="13" hidden="1" customWidth="1"/>
    <col min="8" max="8" width="7" style="13" customWidth="1"/>
    <col min="9" max="10" width="7.75" style="13" customWidth="1"/>
    <col min="11" max="11" width="9.25" style="13" customWidth="1"/>
    <col min="12" max="12" width="7" style="13" customWidth="1"/>
    <col min="13" max="13" width="7.75" style="13" customWidth="1"/>
    <col min="14" max="14" width="7" style="13" customWidth="1"/>
    <col min="15" max="19" width="7.75" style="13" customWidth="1"/>
    <col min="20" max="20" width="7.75" style="13" hidden="1" customWidth="1"/>
    <col min="21" max="21" width="9.25" style="13" hidden="1" customWidth="1"/>
    <col min="22" max="22" width="9.25" style="13" customWidth="1"/>
    <col min="23" max="23" width="8.5" style="13" customWidth="1"/>
    <col min="24" max="16384" width="8.75" style="13"/>
  </cols>
  <sheetData>
    <row r="1" spans="1:23" ht="18" x14ac:dyDescent="0.25">
      <c r="A1" s="61" t="s">
        <v>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3" ht="18" x14ac:dyDescent="0.25">
      <c r="A2" s="61" t="s">
        <v>114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3" x14ac:dyDescent="0.25">
      <c r="A3" s="62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5" spans="1:23" x14ac:dyDescent="0.25">
      <c r="A5" s="19"/>
      <c r="B5" s="71" t="s">
        <v>53</v>
      </c>
      <c r="C5" s="72"/>
      <c r="D5" s="73" t="s">
        <v>52</v>
      </c>
      <c r="E5" s="74"/>
      <c r="F5" s="57" t="s">
        <v>51</v>
      </c>
      <c r="G5" s="58"/>
      <c r="H5" s="75" t="s">
        <v>113</v>
      </c>
      <c r="I5" s="76"/>
      <c r="J5" s="77" t="s">
        <v>50</v>
      </c>
      <c r="K5" s="78"/>
      <c r="L5" s="63" t="s">
        <v>112</v>
      </c>
      <c r="M5" s="64"/>
      <c r="N5" s="65" t="s">
        <v>49</v>
      </c>
      <c r="O5" s="66"/>
      <c r="P5" s="67" t="s">
        <v>48</v>
      </c>
      <c r="Q5" s="68"/>
      <c r="R5" s="69" t="s">
        <v>47</v>
      </c>
      <c r="S5" s="70"/>
      <c r="T5" s="57" t="s">
        <v>111</v>
      </c>
      <c r="U5" s="58"/>
      <c r="V5" s="57" t="s">
        <v>110</v>
      </c>
      <c r="W5" s="58"/>
    </row>
    <row r="6" spans="1:23" x14ac:dyDescent="0.25">
      <c r="A6" s="19"/>
      <c r="B6" s="20" t="s">
        <v>109</v>
      </c>
      <c r="C6" s="20" t="s">
        <v>108</v>
      </c>
      <c r="D6" s="24" t="s">
        <v>109</v>
      </c>
      <c r="E6" s="24" t="s">
        <v>108</v>
      </c>
      <c r="F6" s="18" t="s">
        <v>109</v>
      </c>
      <c r="G6" s="18" t="s">
        <v>108</v>
      </c>
      <c r="H6" s="28" t="s">
        <v>109</v>
      </c>
      <c r="I6" s="28" t="s">
        <v>108</v>
      </c>
      <c r="J6" s="32" t="s">
        <v>109</v>
      </c>
      <c r="K6" s="32" t="s">
        <v>108</v>
      </c>
      <c r="L6" s="36" t="s">
        <v>109</v>
      </c>
      <c r="M6" s="36" t="s">
        <v>108</v>
      </c>
      <c r="N6" s="40" t="s">
        <v>109</v>
      </c>
      <c r="O6" s="40" t="s">
        <v>108</v>
      </c>
      <c r="P6" s="44" t="s">
        <v>109</v>
      </c>
      <c r="Q6" s="44" t="s">
        <v>108</v>
      </c>
      <c r="R6" s="48" t="s">
        <v>109</v>
      </c>
      <c r="S6" s="48" t="s">
        <v>108</v>
      </c>
      <c r="T6" s="18" t="s">
        <v>109</v>
      </c>
      <c r="U6" s="18" t="s">
        <v>108</v>
      </c>
      <c r="V6" s="18" t="s">
        <v>109</v>
      </c>
      <c r="W6" s="18" t="s">
        <v>108</v>
      </c>
    </row>
    <row r="7" spans="1:23" x14ac:dyDescent="0.25">
      <c r="A7" s="15" t="s">
        <v>107</v>
      </c>
      <c r="B7" s="21"/>
      <c r="C7" s="21"/>
      <c r="D7" s="25"/>
      <c r="E7" s="25"/>
      <c r="F7" s="14"/>
      <c r="G7" s="14"/>
      <c r="H7" s="29"/>
      <c r="I7" s="29"/>
      <c r="J7" s="33"/>
      <c r="K7" s="33"/>
      <c r="L7" s="37"/>
      <c r="M7" s="37"/>
      <c r="N7" s="41"/>
      <c r="O7" s="41"/>
      <c r="P7" s="45"/>
      <c r="Q7" s="45"/>
      <c r="R7" s="49"/>
      <c r="S7" s="49"/>
      <c r="T7" s="14"/>
      <c r="U7" s="14"/>
      <c r="V7" s="14"/>
      <c r="W7" s="14"/>
    </row>
    <row r="8" spans="1:23" x14ac:dyDescent="0.25">
      <c r="A8" s="15" t="s">
        <v>106</v>
      </c>
      <c r="B8" s="21"/>
      <c r="C8" s="21"/>
      <c r="D8" s="25"/>
      <c r="E8" s="26">
        <f>3750</f>
        <v>3750</v>
      </c>
      <c r="F8" s="14"/>
      <c r="G8" s="14"/>
      <c r="H8" s="29"/>
      <c r="I8" s="29"/>
      <c r="J8" s="33"/>
      <c r="K8" s="33"/>
      <c r="L8" s="37"/>
      <c r="M8" s="37"/>
      <c r="N8" s="41"/>
      <c r="O8" s="41"/>
      <c r="P8" s="45"/>
      <c r="Q8" s="45"/>
      <c r="R8" s="49"/>
      <c r="S8" s="49"/>
      <c r="T8" s="17">
        <f t="shared" ref="T8:T26" si="0">((((((F8)+(H8))+(J8))+(L8))+(N8))+(P8))+(R8)</f>
        <v>0</v>
      </c>
      <c r="U8" s="17">
        <f t="shared" ref="U8:U26" si="1">((((((G8)+(I8))+(K8))+(M8))+(O8))+(Q8))+(S8)</f>
        <v>0</v>
      </c>
      <c r="V8" s="17">
        <f t="shared" ref="V8:V26" si="2">((B8)+(D8))+(T8)</f>
        <v>0</v>
      </c>
      <c r="W8" s="17">
        <f t="shared" ref="W8:W26" si="3">((C8)+(E8))+(U8)</f>
        <v>3750</v>
      </c>
    </row>
    <row r="9" spans="1:23" x14ac:dyDescent="0.25">
      <c r="A9" s="15" t="s">
        <v>105</v>
      </c>
      <c r="B9" s="21"/>
      <c r="C9" s="21"/>
      <c r="D9" s="26">
        <f>535</f>
        <v>535</v>
      </c>
      <c r="E9" s="25"/>
      <c r="F9" s="14"/>
      <c r="G9" s="14"/>
      <c r="H9" s="29"/>
      <c r="I9" s="29"/>
      <c r="J9" s="33"/>
      <c r="K9" s="33"/>
      <c r="L9" s="37"/>
      <c r="M9" s="37"/>
      <c r="N9" s="41"/>
      <c r="O9" s="41"/>
      <c r="P9" s="45"/>
      <c r="Q9" s="45"/>
      <c r="R9" s="49"/>
      <c r="S9" s="49"/>
      <c r="T9" s="17">
        <f t="shared" si="0"/>
        <v>0</v>
      </c>
      <c r="U9" s="17">
        <f t="shared" si="1"/>
        <v>0</v>
      </c>
      <c r="V9" s="17">
        <f t="shared" si="2"/>
        <v>535</v>
      </c>
      <c r="W9" s="17">
        <f t="shared" si="3"/>
        <v>0</v>
      </c>
    </row>
    <row r="10" spans="1:23" x14ac:dyDescent="0.25">
      <c r="A10" s="15" t="s">
        <v>104</v>
      </c>
      <c r="B10" s="22">
        <f t="shared" ref="B10:S10" si="4">(B8)+(B9)</f>
        <v>0</v>
      </c>
      <c r="C10" s="22">
        <f t="shared" si="4"/>
        <v>0</v>
      </c>
      <c r="D10" s="27">
        <f t="shared" si="4"/>
        <v>535</v>
      </c>
      <c r="E10" s="27">
        <f t="shared" si="4"/>
        <v>3750</v>
      </c>
      <c r="F10" s="16">
        <f t="shared" si="4"/>
        <v>0</v>
      </c>
      <c r="G10" s="16">
        <f t="shared" si="4"/>
        <v>0</v>
      </c>
      <c r="H10" s="30">
        <f t="shared" si="4"/>
        <v>0</v>
      </c>
      <c r="I10" s="30">
        <f t="shared" si="4"/>
        <v>0</v>
      </c>
      <c r="J10" s="34">
        <f t="shared" si="4"/>
        <v>0</v>
      </c>
      <c r="K10" s="34">
        <f t="shared" si="4"/>
        <v>0</v>
      </c>
      <c r="L10" s="38">
        <f t="shared" si="4"/>
        <v>0</v>
      </c>
      <c r="M10" s="38">
        <f t="shared" si="4"/>
        <v>0</v>
      </c>
      <c r="N10" s="42">
        <f t="shared" si="4"/>
        <v>0</v>
      </c>
      <c r="O10" s="42">
        <f t="shared" si="4"/>
        <v>0</v>
      </c>
      <c r="P10" s="46">
        <f t="shared" si="4"/>
        <v>0</v>
      </c>
      <c r="Q10" s="46">
        <f t="shared" si="4"/>
        <v>0</v>
      </c>
      <c r="R10" s="50">
        <f t="shared" si="4"/>
        <v>0</v>
      </c>
      <c r="S10" s="50">
        <f t="shared" si="4"/>
        <v>0</v>
      </c>
      <c r="T10" s="16">
        <f t="shared" si="0"/>
        <v>0</v>
      </c>
      <c r="U10" s="16">
        <f t="shared" si="1"/>
        <v>0</v>
      </c>
      <c r="V10" s="16">
        <f t="shared" si="2"/>
        <v>535</v>
      </c>
      <c r="W10" s="16">
        <f t="shared" si="3"/>
        <v>3750</v>
      </c>
    </row>
    <row r="11" spans="1:23" x14ac:dyDescent="0.25">
      <c r="A11" s="15" t="s">
        <v>103</v>
      </c>
      <c r="B11" s="21"/>
      <c r="C11" s="21"/>
      <c r="D11" s="25"/>
      <c r="E11" s="25"/>
      <c r="F11" s="14"/>
      <c r="G11" s="14"/>
      <c r="H11" s="29"/>
      <c r="I11" s="29"/>
      <c r="J11" s="33"/>
      <c r="K11" s="33"/>
      <c r="L11" s="37"/>
      <c r="M11" s="37"/>
      <c r="N11" s="41"/>
      <c r="O11" s="41"/>
      <c r="P11" s="45"/>
      <c r="Q11" s="45"/>
      <c r="R11" s="49"/>
      <c r="S11" s="49"/>
      <c r="T11" s="17">
        <f t="shared" si="0"/>
        <v>0</v>
      </c>
      <c r="U11" s="17">
        <f t="shared" si="1"/>
        <v>0</v>
      </c>
      <c r="V11" s="17">
        <f t="shared" si="2"/>
        <v>0</v>
      </c>
      <c r="W11" s="17">
        <f t="shared" si="3"/>
        <v>0</v>
      </c>
    </row>
    <row r="12" spans="1:23" x14ac:dyDescent="0.25">
      <c r="A12" s="15" t="s">
        <v>102</v>
      </c>
      <c r="B12" s="21"/>
      <c r="C12" s="21"/>
      <c r="D12" s="26">
        <f>133750</f>
        <v>133750</v>
      </c>
      <c r="E12" s="26">
        <f>44583.33</f>
        <v>44583.33</v>
      </c>
      <c r="F12" s="14"/>
      <c r="G12" s="14"/>
      <c r="H12" s="29"/>
      <c r="I12" s="29"/>
      <c r="J12" s="33"/>
      <c r="K12" s="33"/>
      <c r="L12" s="37"/>
      <c r="M12" s="37"/>
      <c r="N12" s="41"/>
      <c r="O12" s="41"/>
      <c r="P12" s="45"/>
      <c r="Q12" s="45"/>
      <c r="R12" s="49"/>
      <c r="S12" s="49"/>
      <c r="T12" s="17">
        <f t="shared" si="0"/>
        <v>0</v>
      </c>
      <c r="U12" s="17">
        <f t="shared" si="1"/>
        <v>0</v>
      </c>
      <c r="V12" s="17">
        <f t="shared" si="2"/>
        <v>133750</v>
      </c>
      <c r="W12" s="17">
        <f t="shared" si="3"/>
        <v>44583.33</v>
      </c>
    </row>
    <row r="13" spans="1:23" x14ac:dyDescent="0.25">
      <c r="A13" s="15" t="s">
        <v>101</v>
      </c>
      <c r="B13" s="21"/>
      <c r="C13" s="21"/>
      <c r="D13" s="25"/>
      <c r="E13" s="26">
        <f>2000</f>
        <v>2000</v>
      </c>
      <c r="F13" s="14"/>
      <c r="G13" s="14"/>
      <c r="H13" s="29"/>
      <c r="I13" s="29"/>
      <c r="J13" s="33"/>
      <c r="K13" s="33"/>
      <c r="L13" s="37"/>
      <c r="M13" s="37"/>
      <c r="N13" s="41"/>
      <c r="O13" s="41"/>
      <c r="P13" s="45"/>
      <c r="Q13" s="45"/>
      <c r="R13" s="49"/>
      <c r="S13" s="49"/>
      <c r="T13" s="17">
        <f t="shared" si="0"/>
        <v>0</v>
      </c>
      <c r="U13" s="17">
        <f t="shared" si="1"/>
        <v>0</v>
      </c>
      <c r="V13" s="17">
        <f t="shared" si="2"/>
        <v>0</v>
      </c>
      <c r="W13" s="17">
        <f t="shared" si="3"/>
        <v>2000</v>
      </c>
    </row>
    <row r="14" spans="1:23" x14ac:dyDescent="0.25">
      <c r="A14" s="15" t="s">
        <v>100</v>
      </c>
      <c r="B14" s="22">
        <f t="shared" ref="B14:S14" si="5">((B11)+(B12))+(B13)</f>
        <v>0</v>
      </c>
      <c r="C14" s="22">
        <f t="shared" si="5"/>
        <v>0</v>
      </c>
      <c r="D14" s="27">
        <f t="shared" si="5"/>
        <v>133750</v>
      </c>
      <c r="E14" s="27">
        <f t="shared" si="5"/>
        <v>46583.33</v>
      </c>
      <c r="F14" s="16">
        <f t="shared" si="5"/>
        <v>0</v>
      </c>
      <c r="G14" s="16">
        <f t="shared" si="5"/>
        <v>0</v>
      </c>
      <c r="H14" s="30">
        <f t="shared" si="5"/>
        <v>0</v>
      </c>
      <c r="I14" s="30">
        <f t="shared" si="5"/>
        <v>0</v>
      </c>
      <c r="J14" s="34">
        <f t="shared" si="5"/>
        <v>0</v>
      </c>
      <c r="K14" s="34">
        <f t="shared" si="5"/>
        <v>0</v>
      </c>
      <c r="L14" s="38">
        <f t="shared" si="5"/>
        <v>0</v>
      </c>
      <c r="M14" s="38">
        <f t="shared" si="5"/>
        <v>0</v>
      </c>
      <c r="N14" s="42">
        <f t="shared" si="5"/>
        <v>0</v>
      </c>
      <c r="O14" s="42">
        <f t="shared" si="5"/>
        <v>0</v>
      </c>
      <c r="P14" s="46">
        <f t="shared" si="5"/>
        <v>0</v>
      </c>
      <c r="Q14" s="46">
        <f t="shared" si="5"/>
        <v>0</v>
      </c>
      <c r="R14" s="50">
        <f t="shared" si="5"/>
        <v>0</v>
      </c>
      <c r="S14" s="50">
        <f t="shared" si="5"/>
        <v>0</v>
      </c>
      <c r="T14" s="16">
        <f t="shared" si="0"/>
        <v>0</v>
      </c>
      <c r="U14" s="16">
        <f t="shared" si="1"/>
        <v>0</v>
      </c>
      <c r="V14" s="16">
        <f t="shared" si="2"/>
        <v>133750</v>
      </c>
      <c r="W14" s="16">
        <f t="shared" si="3"/>
        <v>46583.33</v>
      </c>
    </row>
    <row r="15" spans="1:23" x14ac:dyDescent="0.25">
      <c r="A15" s="15" t="s">
        <v>99</v>
      </c>
      <c r="B15" s="21"/>
      <c r="C15" s="21"/>
      <c r="D15" s="25"/>
      <c r="E15" s="25"/>
      <c r="F15" s="14"/>
      <c r="G15" s="14"/>
      <c r="H15" s="29"/>
      <c r="I15" s="29"/>
      <c r="J15" s="33"/>
      <c r="K15" s="33"/>
      <c r="L15" s="37"/>
      <c r="M15" s="37"/>
      <c r="N15" s="41"/>
      <c r="O15" s="41"/>
      <c r="P15" s="45"/>
      <c r="Q15" s="45"/>
      <c r="R15" s="49"/>
      <c r="S15" s="49"/>
      <c r="T15" s="17">
        <f t="shared" si="0"/>
        <v>0</v>
      </c>
      <c r="U15" s="17">
        <f t="shared" si="1"/>
        <v>0</v>
      </c>
      <c r="V15" s="17">
        <f t="shared" si="2"/>
        <v>0</v>
      </c>
      <c r="W15" s="17">
        <f t="shared" si="3"/>
        <v>0</v>
      </c>
    </row>
    <row r="16" spans="1:23" x14ac:dyDescent="0.25">
      <c r="A16" s="15" t="s">
        <v>98</v>
      </c>
      <c r="B16" s="21"/>
      <c r="C16" s="21"/>
      <c r="D16" s="25"/>
      <c r="E16" s="26">
        <f>3375</f>
        <v>3375</v>
      </c>
      <c r="F16" s="14"/>
      <c r="G16" s="14"/>
      <c r="H16" s="29"/>
      <c r="I16" s="29"/>
      <c r="J16" s="33"/>
      <c r="K16" s="33"/>
      <c r="L16" s="37"/>
      <c r="M16" s="37"/>
      <c r="N16" s="41"/>
      <c r="O16" s="41"/>
      <c r="P16" s="45"/>
      <c r="Q16" s="45"/>
      <c r="R16" s="49"/>
      <c r="S16" s="49"/>
      <c r="T16" s="17">
        <f t="shared" si="0"/>
        <v>0</v>
      </c>
      <c r="U16" s="17">
        <f t="shared" si="1"/>
        <v>0</v>
      </c>
      <c r="V16" s="17">
        <f t="shared" si="2"/>
        <v>0</v>
      </c>
      <c r="W16" s="17">
        <f t="shared" si="3"/>
        <v>3375</v>
      </c>
    </row>
    <row r="17" spans="1:23" x14ac:dyDescent="0.25">
      <c r="A17" s="15" t="s">
        <v>97</v>
      </c>
      <c r="B17" s="21"/>
      <c r="C17" s="21"/>
      <c r="D17" s="25"/>
      <c r="E17" s="26">
        <f>6833.33</f>
        <v>6833.33</v>
      </c>
      <c r="F17" s="14"/>
      <c r="G17" s="14"/>
      <c r="H17" s="29"/>
      <c r="I17" s="29"/>
      <c r="J17" s="33"/>
      <c r="K17" s="33"/>
      <c r="L17" s="37"/>
      <c r="M17" s="37"/>
      <c r="N17" s="41"/>
      <c r="O17" s="41"/>
      <c r="P17" s="45"/>
      <c r="Q17" s="45"/>
      <c r="R17" s="49"/>
      <c r="S17" s="49"/>
      <c r="T17" s="17">
        <f t="shared" si="0"/>
        <v>0</v>
      </c>
      <c r="U17" s="17">
        <f t="shared" si="1"/>
        <v>0</v>
      </c>
      <c r="V17" s="17">
        <f t="shared" si="2"/>
        <v>0</v>
      </c>
      <c r="W17" s="17">
        <f t="shared" si="3"/>
        <v>6833.33</v>
      </c>
    </row>
    <row r="18" spans="1:23" x14ac:dyDescent="0.25">
      <c r="A18" s="15" t="s">
        <v>96</v>
      </c>
      <c r="B18" s="21"/>
      <c r="C18" s="21"/>
      <c r="D18" s="25"/>
      <c r="E18" s="26">
        <f>8375</f>
        <v>8375</v>
      </c>
      <c r="F18" s="14"/>
      <c r="G18" s="14"/>
      <c r="H18" s="29"/>
      <c r="I18" s="29"/>
      <c r="J18" s="33"/>
      <c r="K18" s="33"/>
      <c r="L18" s="37"/>
      <c r="M18" s="37"/>
      <c r="N18" s="41"/>
      <c r="O18" s="41"/>
      <c r="P18" s="45"/>
      <c r="Q18" s="45"/>
      <c r="R18" s="49"/>
      <c r="S18" s="49"/>
      <c r="T18" s="17">
        <f t="shared" si="0"/>
        <v>0</v>
      </c>
      <c r="U18" s="17">
        <f t="shared" si="1"/>
        <v>0</v>
      </c>
      <c r="V18" s="17">
        <f t="shared" si="2"/>
        <v>0</v>
      </c>
      <c r="W18" s="17">
        <f t="shared" si="3"/>
        <v>8375</v>
      </c>
    </row>
    <row r="19" spans="1:23" x14ac:dyDescent="0.25">
      <c r="A19" s="15" t="s">
        <v>95</v>
      </c>
      <c r="B19" s="21"/>
      <c r="C19" s="21"/>
      <c r="D19" s="25"/>
      <c r="E19" s="26">
        <f>91.67</f>
        <v>91.67</v>
      </c>
      <c r="F19" s="14"/>
      <c r="G19" s="14"/>
      <c r="H19" s="29"/>
      <c r="I19" s="29"/>
      <c r="J19" s="33"/>
      <c r="K19" s="33"/>
      <c r="L19" s="37"/>
      <c r="M19" s="37"/>
      <c r="N19" s="41"/>
      <c r="O19" s="41"/>
      <c r="P19" s="45"/>
      <c r="Q19" s="45"/>
      <c r="R19" s="49"/>
      <c r="S19" s="49"/>
      <c r="T19" s="17">
        <f t="shared" si="0"/>
        <v>0</v>
      </c>
      <c r="U19" s="17">
        <f t="shared" si="1"/>
        <v>0</v>
      </c>
      <c r="V19" s="17">
        <f t="shared" si="2"/>
        <v>0</v>
      </c>
      <c r="W19" s="17">
        <f t="shared" si="3"/>
        <v>91.67</v>
      </c>
    </row>
    <row r="20" spans="1:23" x14ac:dyDescent="0.25">
      <c r="A20" s="15" t="s">
        <v>94</v>
      </c>
      <c r="B20" s="21"/>
      <c r="C20" s="21"/>
      <c r="D20" s="25"/>
      <c r="E20" s="26">
        <f>83.33</f>
        <v>83.33</v>
      </c>
      <c r="F20" s="14"/>
      <c r="G20" s="14"/>
      <c r="H20" s="29"/>
      <c r="I20" s="29"/>
      <c r="J20" s="33"/>
      <c r="K20" s="33"/>
      <c r="L20" s="37"/>
      <c r="M20" s="37"/>
      <c r="N20" s="41"/>
      <c r="O20" s="41"/>
      <c r="P20" s="45"/>
      <c r="Q20" s="45"/>
      <c r="R20" s="49"/>
      <c r="S20" s="49"/>
      <c r="T20" s="17">
        <f t="shared" si="0"/>
        <v>0</v>
      </c>
      <c r="U20" s="17">
        <f t="shared" si="1"/>
        <v>0</v>
      </c>
      <c r="V20" s="17">
        <f t="shared" si="2"/>
        <v>0</v>
      </c>
      <c r="W20" s="17">
        <f t="shared" si="3"/>
        <v>83.33</v>
      </c>
    </row>
    <row r="21" spans="1:23" x14ac:dyDescent="0.25">
      <c r="A21" s="15" t="s">
        <v>93</v>
      </c>
      <c r="B21" s="21"/>
      <c r="C21" s="21"/>
      <c r="D21" s="25"/>
      <c r="E21" s="26">
        <f>83.33</f>
        <v>83.33</v>
      </c>
      <c r="F21" s="14"/>
      <c r="G21" s="14"/>
      <c r="H21" s="29"/>
      <c r="I21" s="29"/>
      <c r="J21" s="33"/>
      <c r="K21" s="33"/>
      <c r="L21" s="37"/>
      <c r="M21" s="37"/>
      <c r="N21" s="41"/>
      <c r="O21" s="41"/>
      <c r="P21" s="45"/>
      <c r="Q21" s="45"/>
      <c r="R21" s="49"/>
      <c r="S21" s="49"/>
      <c r="T21" s="17">
        <f t="shared" si="0"/>
        <v>0</v>
      </c>
      <c r="U21" s="17">
        <f t="shared" si="1"/>
        <v>0</v>
      </c>
      <c r="V21" s="17">
        <f t="shared" si="2"/>
        <v>0</v>
      </c>
      <c r="W21" s="17">
        <f t="shared" si="3"/>
        <v>83.33</v>
      </c>
    </row>
    <row r="22" spans="1:23" x14ac:dyDescent="0.25">
      <c r="A22" s="15" t="s">
        <v>92</v>
      </c>
      <c r="B22" s="22">
        <f t="shared" ref="B22:S22" si="6">((((((B15)+(B16))+(B17))+(B18))+(B19))+(B20))+(B21)</f>
        <v>0</v>
      </c>
      <c r="C22" s="22">
        <f t="shared" si="6"/>
        <v>0</v>
      </c>
      <c r="D22" s="27">
        <f t="shared" si="6"/>
        <v>0</v>
      </c>
      <c r="E22" s="27">
        <f t="shared" si="6"/>
        <v>18841.660000000003</v>
      </c>
      <c r="F22" s="16">
        <f t="shared" si="6"/>
        <v>0</v>
      </c>
      <c r="G22" s="16">
        <f t="shared" si="6"/>
        <v>0</v>
      </c>
      <c r="H22" s="30">
        <f t="shared" si="6"/>
        <v>0</v>
      </c>
      <c r="I22" s="30">
        <f t="shared" si="6"/>
        <v>0</v>
      </c>
      <c r="J22" s="34">
        <f t="shared" si="6"/>
        <v>0</v>
      </c>
      <c r="K22" s="34">
        <f t="shared" si="6"/>
        <v>0</v>
      </c>
      <c r="L22" s="38">
        <f t="shared" si="6"/>
        <v>0</v>
      </c>
      <c r="M22" s="38">
        <f t="shared" si="6"/>
        <v>0</v>
      </c>
      <c r="N22" s="42">
        <f t="shared" si="6"/>
        <v>0</v>
      </c>
      <c r="O22" s="42">
        <f t="shared" si="6"/>
        <v>0</v>
      </c>
      <c r="P22" s="46">
        <f t="shared" si="6"/>
        <v>0</v>
      </c>
      <c r="Q22" s="46">
        <f t="shared" si="6"/>
        <v>0</v>
      </c>
      <c r="R22" s="50">
        <f t="shared" si="6"/>
        <v>0</v>
      </c>
      <c r="S22" s="50">
        <f t="shared" si="6"/>
        <v>0</v>
      </c>
      <c r="T22" s="16">
        <f t="shared" si="0"/>
        <v>0</v>
      </c>
      <c r="U22" s="16">
        <f t="shared" si="1"/>
        <v>0</v>
      </c>
      <c r="V22" s="16">
        <f t="shared" si="2"/>
        <v>0</v>
      </c>
      <c r="W22" s="16">
        <f t="shared" si="3"/>
        <v>18841.660000000003</v>
      </c>
    </row>
    <row r="23" spans="1:23" x14ac:dyDescent="0.25">
      <c r="A23" s="15" t="s">
        <v>91</v>
      </c>
      <c r="B23" s="21"/>
      <c r="C23" s="21"/>
      <c r="D23" s="25"/>
      <c r="E23" s="26">
        <f>250</f>
        <v>250</v>
      </c>
      <c r="F23" s="14"/>
      <c r="G23" s="14"/>
      <c r="H23" s="29"/>
      <c r="I23" s="29"/>
      <c r="J23" s="33"/>
      <c r="K23" s="33"/>
      <c r="L23" s="37"/>
      <c r="M23" s="37"/>
      <c r="N23" s="41"/>
      <c r="O23" s="41"/>
      <c r="P23" s="45"/>
      <c r="Q23" s="45"/>
      <c r="R23" s="49"/>
      <c r="S23" s="49"/>
      <c r="T23" s="17">
        <f t="shared" si="0"/>
        <v>0</v>
      </c>
      <c r="U23" s="17">
        <f t="shared" si="1"/>
        <v>0</v>
      </c>
      <c r="V23" s="17">
        <f t="shared" si="2"/>
        <v>0</v>
      </c>
      <c r="W23" s="17">
        <f t="shared" si="3"/>
        <v>250</v>
      </c>
    </row>
    <row r="24" spans="1:23" x14ac:dyDescent="0.25">
      <c r="A24" s="15" t="s">
        <v>90</v>
      </c>
      <c r="B24" s="21"/>
      <c r="C24" s="21"/>
      <c r="D24" s="26">
        <f>94.8</f>
        <v>94.8</v>
      </c>
      <c r="E24" s="26">
        <f>4166.67</f>
        <v>4166.67</v>
      </c>
      <c r="F24" s="14"/>
      <c r="G24" s="14"/>
      <c r="H24" s="29"/>
      <c r="I24" s="29"/>
      <c r="J24" s="33"/>
      <c r="K24" s="33"/>
      <c r="L24" s="37"/>
      <c r="M24" s="37"/>
      <c r="N24" s="41"/>
      <c r="O24" s="41"/>
      <c r="P24" s="45"/>
      <c r="Q24" s="45"/>
      <c r="R24" s="49"/>
      <c r="S24" s="49"/>
      <c r="T24" s="17">
        <f t="shared" si="0"/>
        <v>0</v>
      </c>
      <c r="U24" s="17">
        <f t="shared" si="1"/>
        <v>0</v>
      </c>
      <c r="V24" s="17">
        <f t="shared" si="2"/>
        <v>94.8</v>
      </c>
      <c r="W24" s="17">
        <f t="shared" si="3"/>
        <v>4166.67</v>
      </c>
    </row>
    <row r="25" spans="1:23" x14ac:dyDescent="0.25">
      <c r="A25" s="15" t="s">
        <v>89</v>
      </c>
      <c r="B25" s="22">
        <f t="shared" ref="B25:S25" si="7">((((B10)+(B14))+(B22))+(B23))+(B24)</f>
        <v>0</v>
      </c>
      <c r="C25" s="22">
        <f t="shared" si="7"/>
        <v>0</v>
      </c>
      <c r="D25" s="27">
        <f t="shared" si="7"/>
        <v>134379.79999999999</v>
      </c>
      <c r="E25" s="27">
        <f t="shared" si="7"/>
        <v>73591.66</v>
      </c>
      <c r="F25" s="16">
        <f t="shared" si="7"/>
        <v>0</v>
      </c>
      <c r="G25" s="16">
        <f t="shared" si="7"/>
        <v>0</v>
      </c>
      <c r="H25" s="30">
        <f t="shared" si="7"/>
        <v>0</v>
      </c>
      <c r="I25" s="30">
        <f t="shared" si="7"/>
        <v>0</v>
      </c>
      <c r="J25" s="34">
        <f t="shared" si="7"/>
        <v>0</v>
      </c>
      <c r="K25" s="34">
        <f t="shared" si="7"/>
        <v>0</v>
      </c>
      <c r="L25" s="38">
        <f t="shared" si="7"/>
        <v>0</v>
      </c>
      <c r="M25" s="38">
        <f t="shared" si="7"/>
        <v>0</v>
      </c>
      <c r="N25" s="42">
        <f t="shared" si="7"/>
        <v>0</v>
      </c>
      <c r="O25" s="42">
        <f t="shared" si="7"/>
        <v>0</v>
      </c>
      <c r="P25" s="46">
        <f t="shared" si="7"/>
        <v>0</v>
      </c>
      <c r="Q25" s="46">
        <f t="shared" si="7"/>
        <v>0</v>
      </c>
      <c r="R25" s="50">
        <f t="shared" si="7"/>
        <v>0</v>
      </c>
      <c r="S25" s="50">
        <f t="shared" si="7"/>
        <v>0</v>
      </c>
      <c r="T25" s="16">
        <f t="shared" si="0"/>
        <v>0</v>
      </c>
      <c r="U25" s="16">
        <f t="shared" si="1"/>
        <v>0</v>
      </c>
      <c r="V25" s="16">
        <f t="shared" si="2"/>
        <v>134379.79999999999</v>
      </c>
      <c r="W25" s="16">
        <f t="shared" si="3"/>
        <v>73591.66</v>
      </c>
    </row>
    <row r="26" spans="1:23" x14ac:dyDescent="0.25">
      <c r="A26" s="15" t="s">
        <v>12</v>
      </c>
      <c r="B26" s="22">
        <f t="shared" ref="B26:S26" si="8">(B25)-(0)</f>
        <v>0</v>
      </c>
      <c r="C26" s="22">
        <f t="shared" si="8"/>
        <v>0</v>
      </c>
      <c r="D26" s="27">
        <f t="shared" si="8"/>
        <v>134379.79999999999</v>
      </c>
      <c r="E26" s="27">
        <f t="shared" si="8"/>
        <v>73591.66</v>
      </c>
      <c r="F26" s="16">
        <f t="shared" si="8"/>
        <v>0</v>
      </c>
      <c r="G26" s="16">
        <f t="shared" si="8"/>
        <v>0</v>
      </c>
      <c r="H26" s="30">
        <f t="shared" si="8"/>
        <v>0</v>
      </c>
      <c r="I26" s="30">
        <f t="shared" si="8"/>
        <v>0</v>
      </c>
      <c r="J26" s="34">
        <f t="shared" si="8"/>
        <v>0</v>
      </c>
      <c r="K26" s="34">
        <f t="shared" si="8"/>
        <v>0</v>
      </c>
      <c r="L26" s="38">
        <f t="shared" si="8"/>
        <v>0</v>
      </c>
      <c r="M26" s="38">
        <f t="shared" si="8"/>
        <v>0</v>
      </c>
      <c r="N26" s="42">
        <f t="shared" si="8"/>
        <v>0</v>
      </c>
      <c r="O26" s="42">
        <f t="shared" si="8"/>
        <v>0</v>
      </c>
      <c r="P26" s="46">
        <f t="shared" si="8"/>
        <v>0</v>
      </c>
      <c r="Q26" s="46">
        <f t="shared" si="8"/>
        <v>0</v>
      </c>
      <c r="R26" s="50">
        <f t="shared" si="8"/>
        <v>0</v>
      </c>
      <c r="S26" s="50">
        <f t="shared" si="8"/>
        <v>0</v>
      </c>
      <c r="T26" s="16">
        <f t="shared" si="0"/>
        <v>0</v>
      </c>
      <c r="U26" s="16">
        <f t="shared" si="1"/>
        <v>0</v>
      </c>
      <c r="V26" s="16">
        <f t="shared" si="2"/>
        <v>134379.79999999999</v>
      </c>
      <c r="W26" s="16">
        <f t="shared" si="3"/>
        <v>73591.66</v>
      </c>
    </row>
    <row r="27" spans="1:23" x14ac:dyDescent="0.25">
      <c r="A27" s="15" t="s">
        <v>88</v>
      </c>
      <c r="B27" s="21"/>
      <c r="C27" s="21"/>
      <c r="D27" s="25"/>
      <c r="E27" s="25"/>
      <c r="F27" s="14"/>
      <c r="G27" s="14"/>
      <c r="H27" s="29"/>
      <c r="I27" s="29"/>
      <c r="J27" s="33"/>
      <c r="K27" s="33"/>
      <c r="L27" s="37"/>
      <c r="M27" s="37"/>
      <c r="N27" s="41"/>
      <c r="O27" s="41"/>
      <c r="P27" s="45"/>
      <c r="Q27" s="45"/>
      <c r="R27" s="49"/>
      <c r="S27" s="49"/>
      <c r="T27" s="14"/>
      <c r="U27" s="14"/>
      <c r="V27" s="14"/>
      <c r="W27" s="14"/>
    </row>
    <row r="28" spans="1:23" x14ac:dyDescent="0.25">
      <c r="A28" s="15" t="s">
        <v>87</v>
      </c>
      <c r="B28" s="21"/>
      <c r="C28" s="21"/>
      <c r="D28" s="25"/>
      <c r="E28" s="25"/>
      <c r="F28" s="14"/>
      <c r="G28" s="14"/>
      <c r="H28" s="29"/>
      <c r="I28" s="29"/>
      <c r="J28" s="33"/>
      <c r="K28" s="33"/>
      <c r="L28" s="37"/>
      <c r="M28" s="37"/>
      <c r="N28" s="41"/>
      <c r="O28" s="41"/>
      <c r="P28" s="45"/>
      <c r="Q28" s="45"/>
      <c r="R28" s="49"/>
      <c r="S28" s="49"/>
      <c r="T28" s="17">
        <f t="shared" ref="T28:T60" si="9">((((((F28)+(H28))+(J28))+(L28))+(N28))+(P28))+(R28)</f>
        <v>0</v>
      </c>
      <c r="U28" s="17">
        <f t="shared" ref="U28:U60" si="10">((((((G28)+(I28))+(K28))+(M28))+(O28))+(Q28))+(S28)</f>
        <v>0</v>
      </c>
      <c r="V28" s="17">
        <f t="shared" ref="V28:V60" si="11">((B28)+(D28))+(T28)</f>
        <v>0</v>
      </c>
      <c r="W28" s="17">
        <f t="shared" ref="W28:W60" si="12">((C28)+(E28))+(U28)</f>
        <v>0</v>
      </c>
    </row>
    <row r="29" spans="1:23" x14ac:dyDescent="0.25">
      <c r="A29" s="15" t="s">
        <v>86</v>
      </c>
      <c r="B29" s="23">
        <f>26911.48</f>
        <v>26911.48</v>
      </c>
      <c r="C29" s="23">
        <f>29092.23</f>
        <v>29092.23</v>
      </c>
      <c r="D29" s="25"/>
      <c r="E29" s="25"/>
      <c r="F29" s="14"/>
      <c r="G29" s="14"/>
      <c r="H29" s="29"/>
      <c r="I29" s="29"/>
      <c r="J29" s="33"/>
      <c r="K29" s="33"/>
      <c r="L29" s="37"/>
      <c r="M29" s="37"/>
      <c r="N29" s="41"/>
      <c r="O29" s="41"/>
      <c r="P29" s="45"/>
      <c r="Q29" s="45"/>
      <c r="R29" s="49"/>
      <c r="S29" s="49"/>
      <c r="T29" s="17">
        <f t="shared" si="9"/>
        <v>0</v>
      </c>
      <c r="U29" s="17">
        <f t="shared" si="10"/>
        <v>0</v>
      </c>
      <c r="V29" s="17">
        <f t="shared" si="11"/>
        <v>26911.48</v>
      </c>
      <c r="W29" s="17">
        <f t="shared" si="12"/>
        <v>29092.23</v>
      </c>
    </row>
    <row r="30" spans="1:23" x14ac:dyDescent="0.25">
      <c r="A30" s="15" t="s">
        <v>85</v>
      </c>
      <c r="B30" s="23">
        <f>2322.61</f>
        <v>2322.61</v>
      </c>
      <c r="C30" s="23">
        <f>2661.94</f>
        <v>2661.94</v>
      </c>
      <c r="D30" s="25"/>
      <c r="E30" s="25"/>
      <c r="F30" s="14"/>
      <c r="G30" s="14"/>
      <c r="H30" s="29"/>
      <c r="I30" s="29"/>
      <c r="J30" s="33"/>
      <c r="K30" s="33"/>
      <c r="L30" s="37"/>
      <c r="M30" s="37"/>
      <c r="N30" s="41"/>
      <c r="O30" s="41"/>
      <c r="P30" s="45"/>
      <c r="Q30" s="45"/>
      <c r="R30" s="49"/>
      <c r="S30" s="49"/>
      <c r="T30" s="17">
        <f t="shared" si="9"/>
        <v>0</v>
      </c>
      <c r="U30" s="17">
        <f t="shared" si="10"/>
        <v>0</v>
      </c>
      <c r="V30" s="17">
        <f t="shared" si="11"/>
        <v>2322.61</v>
      </c>
      <c r="W30" s="17">
        <f t="shared" si="12"/>
        <v>2661.94</v>
      </c>
    </row>
    <row r="31" spans="1:23" x14ac:dyDescent="0.25">
      <c r="A31" s="15" t="s">
        <v>84</v>
      </c>
      <c r="B31" s="23">
        <f>520</f>
        <v>520</v>
      </c>
      <c r="C31" s="23">
        <f>1723.88</f>
        <v>1723.88</v>
      </c>
      <c r="D31" s="25"/>
      <c r="E31" s="25"/>
      <c r="F31" s="14"/>
      <c r="G31" s="14"/>
      <c r="H31" s="29"/>
      <c r="I31" s="29"/>
      <c r="J31" s="33"/>
      <c r="K31" s="33"/>
      <c r="L31" s="37"/>
      <c r="M31" s="37"/>
      <c r="N31" s="41"/>
      <c r="O31" s="41"/>
      <c r="P31" s="45"/>
      <c r="Q31" s="45"/>
      <c r="R31" s="49"/>
      <c r="S31" s="49"/>
      <c r="T31" s="17">
        <f t="shared" si="9"/>
        <v>0</v>
      </c>
      <c r="U31" s="17">
        <f t="shared" si="10"/>
        <v>0</v>
      </c>
      <c r="V31" s="17">
        <f t="shared" si="11"/>
        <v>520</v>
      </c>
      <c r="W31" s="17">
        <f t="shared" si="12"/>
        <v>1723.88</v>
      </c>
    </row>
    <row r="32" spans="1:23" x14ac:dyDescent="0.25">
      <c r="A32" s="15" t="s">
        <v>83</v>
      </c>
      <c r="B32" s="23">
        <f>13256.4</f>
        <v>13256.4</v>
      </c>
      <c r="C32" s="23">
        <f>16846.68</f>
        <v>16846.68</v>
      </c>
      <c r="D32" s="25"/>
      <c r="E32" s="25"/>
      <c r="F32" s="14"/>
      <c r="G32" s="14"/>
      <c r="H32" s="29"/>
      <c r="I32" s="29"/>
      <c r="J32" s="33"/>
      <c r="K32" s="33"/>
      <c r="L32" s="37"/>
      <c r="M32" s="37"/>
      <c r="N32" s="41"/>
      <c r="O32" s="41"/>
      <c r="P32" s="45"/>
      <c r="Q32" s="45"/>
      <c r="R32" s="49"/>
      <c r="S32" s="49"/>
      <c r="T32" s="17">
        <f t="shared" si="9"/>
        <v>0</v>
      </c>
      <c r="U32" s="17">
        <f t="shared" si="10"/>
        <v>0</v>
      </c>
      <c r="V32" s="17">
        <f t="shared" si="11"/>
        <v>13256.4</v>
      </c>
      <c r="W32" s="17">
        <f t="shared" si="12"/>
        <v>16846.68</v>
      </c>
    </row>
    <row r="33" spans="1:23" x14ac:dyDescent="0.25">
      <c r="A33" s="15" t="s">
        <v>82</v>
      </c>
      <c r="B33" s="22">
        <f t="shared" ref="B33:S33" si="13">((((B28)+(B29))+(B30))+(B31))+(B32)</f>
        <v>43010.49</v>
      </c>
      <c r="C33" s="22">
        <f t="shared" si="13"/>
        <v>50324.729999999996</v>
      </c>
      <c r="D33" s="27">
        <f t="shared" si="13"/>
        <v>0</v>
      </c>
      <c r="E33" s="27">
        <f t="shared" si="13"/>
        <v>0</v>
      </c>
      <c r="F33" s="16">
        <f t="shared" si="13"/>
        <v>0</v>
      </c>
      <c r="G33" s="16">
        <f t="shared" si="13"/>
        <v>0</v>
      </c>
      <c r="H33" s="30">
        <f t="shared" si="13"/>
        <v>0</v>
      </c>
      <c r="I33" s="30">
        <f t="shared" si="13"/>
        <v>0</v>
      </c>
      <c r="J33" s="34">
        <f t="shared" si="13"/>
        <v>0</v>
      </c>
      <c r="K33" s="34">
        <f t="shared" si="13"/>
        <v>0</v>
      </c>
      <c r="L33" s="38">
        <f t="shared" si="13"/>
        <v>0</v>
      </c>
      <c r="M33" s="38">
        <f t="shared" si="13"/>
        <v>0</v>
      </c>
      <c r="N33" s="42">
        <f t="shared" si="13"/>
        <v>0</v>
      </c>
      <c r="O33" s="42">
        <f t="shared" si="13"/>
        <v>0</v>
      </c>
      <c r="P33" s="46">
        <f t="shared" si="13"/>
        <v>0</v>
      </c>
      <c r="Q33" s="46">
        <f t="shared" si="13"/>
        <v>0</v>
      </c>
      <c r="R33" s="50">
        <f t="shared" si="13"/>
        <v>0</v>
      </c>
      <c r="S33" s="50">
        <f t="shared" si="13"/>
        <v>0</v>
      </c>
      <c r="T33" s="16">
        <f t="shared" si="9"/>
        <v>0</v>
      </c>
      <c r="U33" s="16">
        <f t="shared" si="10"/>
        <v>0</v>
      </c>
      <c r="V33" s="16">
        <f t="shared" si="11"/>
        <v>43010.49</v>
      </c>
      <c r="W33" s="16">
        <f t="shared" si="12"/>
        <v>50324.729999999996</v>
      </c>
    </row>
    <row r="34" spans="1:23" x14ac:dyDescent="0.25">
      <c r="A34" s="15" t="s">
        <v>81</v>
      </c>
      <c r="B34" s="21"/>
      <c r="C34" s="21"/>
      <c r="D34" s="25"/>
      <c r="E34" s="25"/>
      <c r="F34" s="14"/>
      <c r="G34" s="14"/>
      <c r="H34" s="29"/>
      <c r="I34" s="29"/>
      <c r="J34" s="33"/>
      <c r="K34" s="33"/>
      <c r="L34" s="37"/>
      <c r="M34" s="37"/>
      <c r="N34" s="41"/>
      <c r="O34" s="41"/>
      <c r="P34" s="45"/>
      <c r="Q34" s="45"/>
      <c r="R34" s="49"/>
      <c r="S34" s="49"/>
      <c r="T34" s="17">
        <f t="shared" si="9"/>
        <v>0</v>
      </c>
      <c r="U34" s="17">
        <f t="shared" si="10"/>
        <v>0</v>
      </c>
      <c r="V34" s="17">
        <f t="shared" si="11"/>
        <v>0</v>
      </c>
      <c r="W34" s="17">
        <f t="shared" si="12"/>
        <v>0</v>
      </c>
    </row>
    <row r="35" spans="1:23" x14ac:dyDescent="0.25">
      <c r="A35" s="15" t="s">
        <v>80</v>
      </c>
      <c r="B35" s="23">
        <f>1720</f>
        <v>1720</v>
      </c>
      <c r="C35" s="23">
        <f>2986.67</f>
        <v>2986.67</v>
      </c>
      <c r="D35" s="25"/>
      <c r="E35" s="25"/>
      <c r="F35" s="14"/>
      <c r="G35" s="14"/>
      <c r="H35" s="29"/>
      <c r="I35" s="29"/>
      <c r="J35" s="33"/>
      <c r="K35" s="33"/>
      <c r="L35" s="37"/>
      <c r="M35" s="37"/>
      <c r="N35" s="41"/>
      <c r="O35" s="41"/>
      <c r="P35" s="45"/>
      <c r="Q35" s="45"/>
      <c r="R35" s="49"/>
      <c r="S35" s="49"/>
      <c r="T35" s="17">
        <f t="shared" si="9"/>
        <v>0</v>
      </c>
      <c r="U35" s="17">
        <f t="shared" si="10"/>
        <v>0</v>
      </c>
      <c r="V35" s="17">
        <f t="shared" si="11"/>
        <v>1720</v>
      </c>
      <c r="W35" s="17">
        <f t="shared" si="12"/>
        <v>2986.67</v>
      </c>
    </row>
    <row r="36" spans="1:23" x14ac:dyDescent="0.25">
      <c r="A36" s="15" t="s">
        <v>79</v>
      </c>
      <c r="B36" s="23">
        <f>677</f>
        <v>677</v>
      </c>
      <c r="C36" s="23">
        <f>1270.83</f>
        <v>1270.83</v>
      </c>
      <c r="D36" s="25"/>
      <c r="E36" s="25"/>
      <c r="F36" s="14"/>
      <c r="G36" s="14"/>
      <c r="H36" s="29"/>
      <c r="I36" s="29"/>
      <c r="J36" s="33"/>
      <c r="K36" s="33"/>
      <c r="L36" s="37"/>
      <c r="M36" s="37"/>
      <c r="N36" s="41"/>
      <c r="O36" s="41"/>
      <c r="P36" s="45"/>
      <c r="Q36" s="45"/>
      <c r="R36" s="49"/>
      <c r="S36" s="49"/>
      <c r="T36" s="17">
        <f t="shared" si="9"/>
        <v>0</v>
      </c>
      <c r="U36" s="17">
        <f t="shared" si="10"/>
        <v>0</v>
      </c>
      <c r="V36" s="17">
        <f t="shared" si="11"/>
        <v>677</v>
      </c>
      <c r="W36" s="17">
        <f t="shared" si="12"/>
        <v>1270.83</v>
      </c>
    </row>
    <row r="37" spans="1:23" x14ac:dyDescent="0.25">
      <c r="A37" s="15" t="s">
        <v>78</v>
      </c>
      <c r="B37" s="21"/>
      <c r="C37" s="21"/>
      <c r="D37" s="25"/>
      <c r="E37" s="25"/>
      <c r="F37" s="14"/>
      <c r="G37" s="14"/>
      <c r="H37" s="29"/>
      <c r="I37" s="29"/>
      <c r="J37" s="33"/>
      <c r="K37" s="35">
        <f>1166.67</f>
        <v>1166.67</v>
      </c>
      <c r="L37" s="37"/>
      <c r="M37" s="39">
        <f>125</f>
        <v>125</v>
      </c>
      <c r="N37" s="41"/>
      <c r="O37" s="41"/>
      <c r="P37" s="45"/>
      <c r="Q37" s="47">
        <f>83.33</f>
        <v>83.33</v>
      </c>
      <c r="R37" s="51">
        <f>60</f>
        <v>60</v>
      </c>
      <c r="S37" s="51">
        <f>416.67</f>
        <v>416.67</v>
      </c>
      <c r="T37" s="17">
        <f t="shared" si="9"/>
        <v>60</v>
      </c>
      <c r="U37" s="17">
        <f t="shared" si="10"/>
        <v>1791.67</v>
      </c>
      <c r="V37" s="17">
        <f t="shared" si="11"/>
        <v>60</v>
      </c>
      <c r="W37" s="17">
        <f t="shared" si="12"/>
        <v>1791.67</v>
      </c>
    </row>
    <row r="38" spans="1:23" x14ac:dyDescent="0.25">
      <c r="A38" s="15" t="s">
        <v>77</v>
      </c>
      <c r="B38" s="21"/>
      <c r="C38" s="21"/>
      <c r="D38" s="25"/>
      <c r="E38" s="25"/>
      <c r="F38" s="14"/>
      <c r="G38" s="14"/>
      <c r="H38" s="29"/>
      <c r="I38" s="29"/>
      <c r="J38" s="33"/>
      <c r="K38" s="33"/>
      <c r="L38" s="37"/>
      <c r="M38" s="39">
        <f>125</f>
        <v>125</v>
      </c>
      <c r="N38" s="41"/>
      <c r="O38" s="41"/>
      <c r="P38" s="45"/>
      <c r="Q38" s="45"/>
      <c r="R38" s="49"/>
      <c r="S38" s="49"/>
      <c r="T38" s="17">
        <f t="shared" si="9"/>
        <v>0</v>
      </c>
      <c r="U38" s="17">
        <f t="shared" si="10"/>
        <v>125</v>
      </c>
      <c r="V38" s="17">
        <f t="shared" si="11"/>
        <v>0</v>
      </c>
      <c r="W38" s="17">
        <f t="shared" si="12"/>
        <v>125</v>
      </c>
    </row>
    <row r="39" spans="1:23" x14ac:dyDescent="0.25">
      <c r="A39" s="15" t="s">
        <v>76</v>
      </c>
      <c r="B39" s="22">
        <f t="shared" ref="B39:S39" si="14">((((B34)+(B35))+(B36))+(B37))+(B38)</f>
        <v>2397</v>
      </c>
      <c r="C39" s="22">
        <f t="shared" si="14"/>
        <v>4257.5</v>
      </c>
      <c r="D39" s="27">
        <f t="shared" si="14"/>
        <v>0</v>
      </c>
      <c r="E39" s="27">
        <f t="shared" si="14"/>
        <v>0</v>
      </c>
      <c r="F39" s="16">
        <f t="shared" si="14"/>
        <v>0</v>
      </c>
      <c r="G39" s="16">
        <f t="shared" si="14"/>
        <v>0</v>
      </c>
      <c r="H39" s="30">
        <f t="shared" si="14"/>
        <v>0</v>
      </c>
      <c r="I39" s="30">
        <f t="shared" si="14"/>
        <v>0</v>
      </c>
      <c r="J39" s="34">
        <f t="shared" si="14"/>
        <v>0</v>
      </c>
      <c r="K39" s="34">
        <f t="shared" si="14"/>
        <v>1166.67</v>
      </c>
      <c r="L39" s="38">
        <f t="shared" si="14"/>
        <v>0</v>
      </c>
      <c r="M39" s="38">
        <f t="shared" si="14"/>
        <v>250</v>
      </c>
      <c r="N39" s="42">
        <f t="shared" si="14"/>
        <v>0</v>
      </c>
      <c r="O39" s="42">
        <f t="shared" si="14"/>
        <v>0</v>
      </c>
      <c r="P39" s="46">
        <f t="shared" si="14"/>
        <v>0</v>
      </c>
      <c r="Q39" s="46">
        <f t="shared" si="14"/>
        <v>83.33</v>
      </c>
      <c r="R39" s="50">
        <f t="shared" si="14"/>
        <v>60</v>
      </c>
      <c r="S39" s="50">
        <f t="shared" si="14"/>
        <v>416.67</v>
      </c>
      <c r="T39" s="16">
        <f t="shared" si="9"/>
        <v>60</v>
      </c>
      <c r="U39" s="16">
        <f t="shared" si="10"/>
        <v>1916.67</v>
      </c>
      <c r="V39" s="16">
        <f t="shared" si="11"/>
        <v>2457</v>
      </c>
      <c r="W39" s="16">
        <f t="shared" si="12"/>
        <v>6174.17</v>
      </c>
    </row>
    <row r="40" spans="1:23" x14ac:dyDescent="0.25">
      <c r="A40" s="15" t="s">
        <v>75</v>
      </c>
      <c r="B40" s="21"/>
      <c r="C40" s="21"/>
      <c r="D40" s="25"/>
      <c r="E40" s="25"/>
      <c r="F40" s="14"/>
      <c r="G40" s="14"/>
      <c r="H40" s="29"/>
      <c r="I40" s="29"/>
      <c r="J40" s="35">
        <f>232</f>
        <v>232</v>
      </c>
      <c r="K40" s="35">
        <f>1166.67</f>
        <v>1166.67</v>
      </c>
      <c r="L40" s="37"/>
      <c r="M40" s="39">
        <f>166.67</f>
        <v>166.67</v>
      </c>
      <c r="N40" s="41"/>
      <c r="O40" s="41"/>
      <c r="P40" s="45"/>
      <c r="Q40" s="45"/>
      <c r="R40" s="49"/>
      <c r="S40" s="49"/>
      <c r="T40" s="17">
        <f t="shared" si="9"/>
        <v>232</v>
      </c>
      <c r="U40" s="17">
        <f t="shared" si="10"/>
        <v>1333.3400000000001</v>
      </c>
      <c r="V40" s="17">
        <f t="shared" si="11"/>
        <v>232</v>
      </c>
      <c r="W40" s="17">
        <f t="shared" si="12"/>
        <v>1333.3400000000001</v>
      </c>
    </row>
    <row r="41" spans="1:23" x14ac:dyDescent="0.25">
      <c r="A41" s="15" t="s">
        <v>74</v>
      </c>
      <c r="B41" s="21"/>
      <c r="C41" s="23">
        <f>250</f>
        <v>250</v>
      </c>
      <c r="D41" s="25"/>
      <c r="E41" s="25"/>
      <c r="F41" s="14"/>
      <c r="G41" s="14"/>
      <c r="H41" s="29"/>
      <c r="I41" s="29"/>
      <c r="J41" s="33"/>
      <c r="K41" s="33"/>
      <c r="L41" s="37"/>
      <c r="M41" s="37"/>
      <c r="N41" s="41"/>
      <c r="O41" s="41"/>
      <c r="P41" s="45"/>
      <c r="Q41" s="45"/>
      <c r="R41" s="49"/>
      <c r="S41" s="49"/>
      <c r="T41" s="17">
        <f t="shared" si="9"/>
        <v>0</v>
      </c>
      <c r="U41" s="17">
        <f t="shared" si="10"/>
        <v>0</v>
      </c>
      <c r="V41" s="17">
        <f t="shared" si="11"/>
        <v>0</v>
      </c>
      <c r="W41" s="17">
        <f t="shared" si="12"/>
        <v>250</v>
      </c>
    </row>
    <row r="42" spans="1:23" x14ac:dyDescent="0.25">
      <c r="A42" s="15" t="s">
        <v>73</v>
      </c>
      <c r="B42" s="21"/>
      <c r="C42" s="23">
        <f>0.83</f>
        <v>0.83</v>
      </c>
      <c r="D42" s="25"/>
      <c r="E42" s="25"/>
      <c r="F42" s="14"/>
      <c r="G42" s="14"/>
      <c r="H42" s="29"/>
      <c r="I42" s="29"/>
      <c r="J42" s="33"/>
      <c r="K42" s="33"/>
      <c r="L42" s="37"/>
      <c r="M42" s="37"/>
      <c r="N42" s="41"/>
      <c r="O42" s="41"/>
      <c r="P42" s="45"/>
      <c r="Q42" s="45"/>
      <c r="R42" s="51">
        <f>60.09</f>
        <v>60.09</v>
      </c>
      <c r="S42" s="49"/>
      <c r="T42" s="17">
        <f t="shared" si="9"/>
        <v>60.09</v>
      </c>
      <c r="U42" s="17">
        <f t="shared" si="10"/>
        <v>0</v>
      </c>
      <c r="V42" s="17">
        <f t="shared" si="11"/>
        <v>60.09</v>
      </c>
      <c r="W42" s="17">
        <f t="shared" si="12"/>
        <v>0.83</v>
      </c>
    </row>
    <row r="43" spans="1:23" x14ac:dyDescent="0.25">
      <c r="A43" s="15" t="s">
        <v>72</v>
      </c>
      <c r="B43" s="21"/>
      <c r="C43" s="23">
        <f>100</f>
        <v>100</v>
      </c>
      <c r="D43" s="25"/>
      <c r="E43" s="25"/>
      <c r="F43" s="14"/>
      <c r="G43" s="14"/>
      <c r="H43" s="29"/>
      <c r="I43" s="29"/>
      <c r="J43" s="33"/>
      <c r="K43" s="33"/>
      <c r="L43" s="37"/>
      <c r="M43" s="37"/>
      <c r="N43" s="41"/>
      <c r="O43" s="41"/>
      <c r="P43" s="45"/>
      <c r="Q43" s="45"/>
      <c r="R43" s="49"/>
      <c r="S43" s="49"/>
      <c r="T43" s="17">
        <f t="shared" si="9"/>
        <v>0</v>
      </c>
      <c r="U43" s="17">
        <f t="shared" si="10"/>
        <v>0</v>
      </c>
      <c r="V43" s="17">
        <f t="shared" si="11"/>
        <v>0</v>
      </c>
      <c r="W43" s="17">
        <f t="shared" si="12"/>
        <v>100</v>
      </c>
    </row>
    <row r="44" spans="1:23" x14ac:dyDescent="0.25">
      <c r="A44" s="15" t="s">
        <v>71</v>
      </c>
      <c r="B44" s="21"/>
      <c r="C44" s="23">
        <f>2444.28</f>
        <v>2444.2800000000002</v>
      </c>
      <c r="D44" s="25"/>
      <c r="E44" s="25"/>
      <c r="F44" s="14"/>
      <c r="G44" s="14"/>
      <c r="H44" s="29"/>
      <c r="I44" s="29"/>
      <c r="J44" s="33"/>
      <c r="K44" s="33"/>
      <c r="L44" s="37"/>
      <c r="M44" s="37"/>
      <c r="N44" s="41"/>
      <c r="O44" s="41"/>
      <c r="P44" s="45"/>
      <c r="Q44" s="45"/>
      <c r="R44" s="49"/>
      <c r="S44" s="49"/>
      <c r="T44" s="17">
        <f t="shared" si="9"/>
        <v>0</v>
      </c>
      <c r="U44" s="17">
        <f t="shared" si="10"/>
        <v>0</v>
      </c>
      <c r="V44" s="17">
        <f t="shared" si="11"/>
        <v>0</v>
      </c>
      <c r="W44" s="17">
        <f t="shared" si="12"/>
        <v>2444.2800000000002</v>
      </c>
    </row>
    <row r="45" spans="1:23" x14ac:dyDescent="0.25">
      <c r="A45" s="15" t="s">
        <v>70</v>
      </c>
      <c r="B45" s="23">
        <f>6946.25</f>
        <v>6946.25</v>
      </c>
      <c r="C45" s="23">
        <f>4408.04</f>
        <v>4408.04</v>
      </c>
      <c r="D45" s="25"/>
      <c r="E45" s="25"/>
      <c r="F45" s="14"/>
      <c r="G45" s="14"/>
      <c r="H45" s="29"/>
      <c r="I45" s="29"/>
      <c r="J45" s="33"/>
      <c r="K45" s="33"/>
      <c r="L45" s="37"/>
      <c r="M45" s="37"/>
      <c r="N45" s="41"/>
      <c r="O45" s="41"/>
      <c r="P45" s="45"/>
      <c r="Q45" s="45"/>
      <c r="R45" s="49"/>
      <c r="S45" s="49"/>
      <c r="T45" s="17">
        <f t="shared" si="9"/>
        <v>0</v>
      </c>
      <c r="U45" s="17">
        <f t="shared" si="10"/>
        <v>0</v>
      </c>
      <c r="V45" s="17">
        <f t="shared" si="11"/>
        <v>6946.25</v>
      </c>
      <c r="W45" s="17">
        <f t="shared" si="12"/>
        <v>4408.04</v>
      </c>
    </row>
    <row r="46" spans="1:23" x14ac:dyDescent="0.25">
      <c r="A46" s="15" t="s">
        <v>69</v>
      </c>
      <c r="B46" s="23">
        <f>1800</f>
        <v>1800</v>
      </c>
      <c r="C46" s="23">
        <f>1800</f>
        <v>1800</v>
      </c>
      <c r="D46" s="25"/>
      <c r="E46" s="25"/>
      <c r="F46" s="14"/>
      <c r="G46" s="14"/>
      <c r="H46" s="29"/>
      <c r="I46" s="29"/>
      <c r="J46" s="33"/>
      <c r="K46" s="33"/>
      <c r="L46" s="37"/>
      <c r="M46" s="37"/>
      <c r="N46" s="41"/>
      <c r="O46" s="41"/>
      <c r="P46" s="45"/>
      <c r="Q46" s="45"/>
      <c r="R46" s="49"/>
      <c r="S46" s="49"/>
      <c r="T46" s="17">
        <f t="shared" si="9"/>
        <v>0</v>
      </c>
      <c r="U46" s="17">
        <f t="shared" si="10"/>
        <v>0</v>
      </c>
      <c r="V46" s="17">
        <f t="shared" si="11"/>
        <v>1800</v>
      </c>
      <c r="W46" s="17">
        <f t="shared" si="12"/>
        <v>1800</v>
      </c>
    </row>
    <row r="47" spans="1:23" x14ac:dyDescent="0.25">
      <c r="A47" s="15" t="s">
        <v>68</v>
      </c>
      <c r="B47" s="23">
        <f>573.48</f>
        <v>573.48</v>
      </c>
      <c r="C47" s="23">
        <f>565.46</f>
        <v>565.46</v>
      </c>
      <c r="D47" s="25"/>
      <c r="E47" s="25"/>
      <c r="F47" s="14"/>
      <c r="G47" s="14"/>
      <c r="H47" s="29"/>
      <c r="I47" s="29"/>
      <c r="J47" s="33"/>
      <c r="K47" s="33"/>
      <c r="L47" s="37"/>
      <c r="M47" s="37"/>
      <c r="N47" s="41"/>
      <c r="O47" s="41"/>
      <c r="P47" s="45"/>
      <c r="Q47" s="45"/>
      <c r="R47" s="49"/>
      <c r="S47" s="49"/>
      <c r="T47" s="17">
        <f t="shared" si="9"/>
        <v>0</v>
      </c>
      <c r="U47" s="17">
        <f t="shared" si="10"/>
        <v>0</v>
      </c>
      <c r="V47" s="17">
        <f t="shared" si="11"/>
        <v>573.48</v>
      </c>
      <c r="W47" s="17">
        <f t="shared" si="12"/>
        <v>565.46</v>
      </c>
    </row>
    <row r="48" spans="1:23" x14ac:dyDescent="0.25">
      <c r="A48" s="15" t="s">
        <v>67</v>
      </c>
      <c r="B48" s="23">
        <f>90</f>
        <v>90</v>
      </c>
      <c r="C48" s="23">
        <f>1833.33</f>
        <v>1833.33</v>
      </c>
      <c r="D48" s="25"/>
      <c r="E48" s="25"/>
      <c r="F48" s="14"/>
      <c r="G48" s="14"/>
      <c r="H48" s="29"/>
      <c r="I48" s="29"/>
      <c r="J48" s="33"/>
      <c r="K48" s="33"/>
      <c r="L48" s="37"/>
      <c r="M48" s="37"/>
      <c r="N48" s="41"/>
      <c r="O48" s="41"/>
      <c r="P48" s="45"/>
      <c r="Q48" s="45"/>
      <c r="R48" s="49"/>
      <c r="S48" s="49"/>
      <c r="T48" s="17">
        <f t="shared" si="9"/>
        <v>0</v>
      </c>
      <c r="U48" s="17">
        <f t="shared" si="10"/>
        <v>0</v>
      </c>
      <c r="V48" s="17">
        <f t="shared" si="11"/>
        <v>90</v>
      </c>
      <c r="W48" s="17">
        <f t="shared" si="12"/>
        <v>1833.33</v>
      </c>
    </row>
    <row r="49" spans="1:23" x14ac:dyDescent="0.25">
      <c r="A49" s="15" t="s">
        <v>66</v>
      </c>
      <c r="B49" s="21"/>
      <c r="C49" s="23">
        <f>58.33</f>
        <v>58.33</v>
      </c>
      <c r="D49" s="25"/>
      <c r="E49" s="25"/>
      <c r="F49" s="14"/>
      <c r="G49" s="14"/>
      <c r="H49" s="29"/>
      <c r="I49" s="29"/>
      <c r="J49" s="33"/>
      <c r="K49" s="33"/>
      <c r="L49" s="37"/>
      <c r="M49" s="37"/>
      <c r="N49" s="43">
        <f>8.89</f>
        <v>8.89</v>
      </c>
      <c r="O49" s="43">
        <f>16.67</f>
        <v>16.670000000000002</v>
      </c>
      <c r="P49" s="45"/>
      <c r="Q49" s="45"/>
      <c r="R49" s="49"/>
      <c r="S49" s="49"/>
      <c r="T49" s="17">
        <f t="shared" si="9"/>
        <v>8.89</v>
      </c>
      <c r="U49" s="17">
        <f t="shared" si="10"/>
        <v>16.670000000000002</v>
      </c>
      <c r="V49" s="17">
        <f t="shared" si="11"/>
        <v>8.89</v>
      </c>
      <c r="W49" s="17">
        <f t="shared" si="12"/>
        <v>75</v>
      </c>
    </row>
    <row r="50" spans="1:23" x14ac:dyDescent="0.25">
      <c r="A50" s="15" t="s">
        <v>65</v>
      </c>
      <c r="B50" s="23">
        <f>275</f>
        <v>275</v>
      </c>
      <c r="C50" s="23">
        <f>1041.67</f>
        <v>1041.67</v>
      </c>
      <c r="D50" s="25"/>
      <c r="E50" s="25"/>
      <c r="F50" s="14"/>
      <c r="G50" s="14"/>
      <c r="H50" s="29"/>
      <c r="I50" s="29"/>
      <c r="J50" s="33"/>
      <c r="K50" s="33"/>
      <c r="L50" s="37"/>
      <c r="M50" s="39">
        <f>83.33</f>
        <v>83.33</v>
      </c>
      <c r="N50" s="41"/>
      <c r="O50" s="41"/>
      <c r="P50" s="47">
        <f>120</f>
        <v>120</v>
      </c>
      <c r="Q50" s="47">
        <f>83.33</f>
        <v>83.33</v>
      </c>
      <c r="R50" s="49"/>
      <c r="S50" s="49"/>
      <c r="T50" s="17">
        <f t="shared" si="9"/>
        <v>120</v>
      </c>
      <c r="U50" s="17">
        <f t="shared" si="10"/>
        <v>166.66</v>
      </c>
      <c r="V50" s="17">
        <f t="shared" si="11"/>
        <v>395</v>
      </c>
      <c r="W50" s="17">
        <f t="shared" si="12"/>
        <v>1208.3300000000002</v>
      </c>
    </row>
    <row r="51" spans="1:23" x14ac:dyDescent="0.25">
      <c r="A51" s="15" t="s">
        <v>64</v>
      </c>
      <c r="B51" s="23">
        <f>260.44</f>
        <v>260.44</v>
      </c>
      <c r="C51" s="23">
        <f>375</f>
        <v>375</v>
      </c>
      <c r="D51" s="25"/>
      <c r="E51" s="25"/>
      <c r="F51" s="14"/>
      <c r="G51" s="14"/>
      <c r="H51" s="29"/>
      <c r="I51" s="29"/>
      <c r="J51" s="33"/>
      <c r="K51" s="33"/>
      <c r="L51" s="37"/>
      <c r="M51" s="39">
        <f>166.67</f>
        <v>166.67</v>
      </c>
      <c r="N51" s="41"/>
      <c r="O51" s="41"/>
      <c r="P51" s="45"/>
      <c r="Q51" s="45"/>
      <c r="R51" s="49"/>
      <c r="S51" s="49"/>
      <c r="T51" s="17">
        <f t="shared" si="9"/>
        <v>0</v>
      </c>
      <c r="U51" s="17">
        <f t="shared" si="10"/>
        <v>166.67</v>
      </c>
      <c r="V51" s="17">
        <f t="shared" si="11"/>
        <v>260.44</v>
      </c>
      <c r="W51" s="17">
        <f t="shared" si="12"/>
        <v>541.66999999999996</v>
      </c>
    </row>
    <row r="52" spans="1:23" x14ac:dyDescent="0.25">
      <c r="A52" s="15" t="s">
        <v>63</v>
      </c>
      <c r="B52" s="23">
        <f>2.57</f>
        <v>2.57</v>
      </c>
      <c r="C52" s="21"/>
      <c r="D52" s="25"/>
      <c r="E52" s="25"/>
      <c r="F52" s="14"/>
      <c r="G52" s="14"/>
      <c r="H52" s="29"/>
      <c r="I52" s="29"/>
      <c r="J52" s="33"/>
      <c r="K52" s="33"/>
      <c r="L52" s="37"/>
      <c r="M52" s="37"/>
      <c r="N52" s="41"/>
      <c r="O52" s="41"/>
      <c r="P52" s="45"/>
      <c r="Q52" s="45"/>
      <c r="R52" s="49"/>
      <c r="S52" s="49"/>
      <c r="T52" s="17">
        <f t="shared" si="9"/>
        <v>0</v>
      </c>
      <c r="U52" s="17">
        <f t="shared" si="10"/>
        <v>0</v>
      </c>
      <c r="V52" s="17">
        <f t="shared" si="11"/>
        <v>2.57</v>
      </c>
      <c r="W52" s="17">
        <f t="shared" si="12"/>
        <v>0</v>
      </c>
    </row>
    <row r="53" spans="1:23" x14ac:dyDescent="0.25">
      <c r="A53" s="15" t="s">
        <v>62</v>
      </c>
      <c r="B53" s="21"/>
      <c r="C53" s="21"/>
      <c r="D53" s="25"/>
      <c r="E53" s="25"/>
      <c r="F53" s="14"/>
      <c r="G53" s="14"/>
      <c r="H53" s="29"/>
      <c r="I53" s="31">
        <f>563.33</f>
        <v>563.33000000000004</v>
      </c>
      <c r="J53" s="33"/>
      <c r="K53" s="33"/>
      <c r="L53" s="37"/>
      <c r="M53" s="37"/>
      <c r="N53" s="41"/>
      <c r="O53" s="41"/>
      <c r="P53" s="45"/>
      <c r="Q53" s="45"/>
      <c r="R53" s="49"/>
      <c r="S53" s="49"/>
      <c r="T53" s="17">
        <f t="shared" si="9"/>
        <v>0</v>
      </c>
      <c r="U53" s="17">
        <f t="shared" si="10"/>
        <v>563.33000000000004</v>
      </c>
      <c r="V53" s="17">
        <f t="shared" si="11"/>
        <v>0</v>
      </c>
      <c r="W53" s="17">
        <f t="shared" si="12"/>
        <v>563.33000000000004</v>
      </c>
    </row>
    <row r="54" spans="1:23" x14ac:dyDescent="0.25">
      <c r="A54" s="15" t="s">
        <v>61</v>
      </c>
      <c r="B54" s="21"/>
      <c r="C54" s="21"/>
      <c r="D54" s="25"/>
      <c r="E54" s="25"/>
      <c r="F54" s="14"/>
      <c r="G54" s="14"/>
      <c r="H54" s="29"/>
      <c r="I54" s="31">
        <f>256.5</f>
        <v>256.5</v>
      </c>
      <c r="J54" s="33"/>
      <c r="K54" s="33"/>
      <c r="L54" s="37"/>
      <c r="M54" s="37"/>
      <c r="N54" s="41"/>
      <c r="O54" s="43">
        <f>458.33</f>
        <v>458.33</v>
      </c>
      <c r="P54" s="45"/>
      <c r="Q54" s="47">
        <f>583.33</f>
        <v>583.33000000000004</v>
      </c>
      <c r="R54" s="49"/>
      <c r="S54" s="49"/>
      <c r="T54" s="17">
        <f t="shared" si="9"/>
        <v>0</v>
      </c>
      <c r="U54" s="17">
        <f t="shared" si="10"/>
        <v>1298.1599999999999</v>
      </c>
      <c r="V54" s="17">
        <f t="shared" si="11"/>
        <v>0</v>
      </c>
      <c r="W54" s="17">
        <f t="shared" si="12"/>
        <v>1298.1599999999999</v>
      </c>
    </row>
    <row r="55" spans="1:23" x14ac:dyDescent="0.25">
      <c r="A55" s="15" t="s">
        <v>60</v>
      </c>
      <c r="B55" s="23">
        <f>9</f>
        <v>9</v>
      </c>
      <c r="C55" s="21"/>
      <c r="D55" s="25"/>
      <c r="E55" s="25"/>
      <c r="F55" s="14"/>
      <c r="G55" s="14"/>
      <c r="H55" s="29"/>
      <c r="I55" s="29"/>
      <c r="J55" s="33"/>
      <c r="K55" s="33"/>
      <c r="L55" s="37"/>
      <c r="M55" s="37"/>
      <c r="N55" s="41"/>
      <c r="O55" s="43">
        <f>203.75</f>
        <v>203.75</v>
      </c>
      <c r="P55" s="45"/>
      <c r="Q55" s="47">
        <f>83.33</f>
        <v>83.33</v>
      </c>
      <c r="R55" s="49"/>
      <c r="S55" s="49"/>
      <c r="T55" s="17">
        <f t="shared" si="9"/>
        <v>0</v>
      </c>
      <c r="U55" s="17">
        <f t="shared" si="10"/>
        <v>287.08</v>
      </c>
      <c r="V55" s="17">
        <f t="shared" si="11"/>
        <v>9</v>
      </c>
      <c r="W55" s="17">
        <f t="shared" si="12"/>
        <v>287.08</v>
      </c>
    </row>
    <row r="56" spans="1:23" x14ac:dyDescent="0.25">
      <c r="A56" s="15" t="s">
        <v>59</v>
      </c>
      <c r="B56" s="21"/>
      <c r="C56" s="21"/>
      <c r="D56" s="25"/>
      <c r="E56" s="25"/>
      <c r="F56" s="14"/>
      <c r="G56" s="14"/>
      <c r="H56" s="29"/>
      <c r="I56" s="29"/>
      <c r="J56" s="33"/>
      <c r="K56" s="33"/>
      <c r="L56" s="37"/>
      <c r="M56" s="37"/>
      <c r="N56" s="41"/>
      <c r="O56" s="43">
        <f>291.67</f>
        <v>291.67</v>
      </c>
      <c r="P56" s="45"/>
      <c r="Q56" s="45"/>
      <c r="R56" s="49"/>
      <c r="S56" s="49"/>
      <c r="T56" s="17">
        <f t="shared" si="9"/>
        <v>0</v>
      </c>
      <c r="U56" s="17">
        <f t="shared" si="10"/>
        <v>291.67</v>
      </c>
      <c r="V56" s="17">
        <f t="shared" si="11"/>
        <v>0</v>
      </c>
      <c r="W56" s="17">
        <f t="shared" si="12"/>
        <v>291.67</v>
      </c>
    </row>
    <row r="57" spans="1:23" x14ac:dyDescent="0.25">
      <c r="A57" s="15" t="s">
        <v>58</v>
      </c>
      <c r="B57" s="22">
        <f t="shared" ref="B57:S57" si="15">(((((((((((((((B41)+(B42))+(B43))+(B44))+(B45))+(B46))+(B47))+(B48))+(B49))+(B50))+(B51))+(B52))+(B53))+(B54))+(B55))+(B56)</f>
        <v>9956.74</v>
      </c>
      <c r="C57" s="22">
        <f t="shared" si="15"/>
        <v>12876.94</v>
      </c>
      <c r="D57" s="27">
        <f t="shared" si="15"/>
        <v>0</v>
      </c>
      <c r="E57" s="27">
        <f t="shared" si="15"/>
        <v>0</v>
      </c>
      <c r="F57" s="16">
        <f t="shared" si="15"/>
        <v>0</v>
      </c>
      <c r="G57" s="16">
        <f t="shared" si="15"/>
        <v>0</v>
      </c>
      <c r="H57" s="30">
        <f t="shared" si="15"/>
        <v>0</v>
      </c>
      <c r="I57" s="30">
        <f t="shared" si="15"/>
        <v>819.83</v>
      </c>
      <c r="J57" s="34">
        <f t="shared" si="15"/>
        <v>0</v>
      </c>
      <c r="K57" s="34">
        <f t="shared" si="15"/>
        <v>0</v>
      </c>
      <c r="L57" s="38">
        <f t="shared" si="15"/>
        <v>0</v>
      </c>
      <c r="M57" s="38">
        <f t="shared" si="15"/>
        <v>250</v>
      </c>
      <c r="N57" s="42">
        <f t="shared" si="15"/>
        <v>8.89</v>
      </c>
      <c r="O57" s="42">
        <f t="shared" si="15"/>
        <v>970.42000000000007</v>
      </c>
      <c r="P57" s="46">
        <f t="shared" si="15"/>
        <v>120</v>
      </c>
      <c r="Q57" s="46">
        <f t="shared" si="15"/>
        <v>749.99000000000012</v>
      </c>
      <c r="R57" s="50">
        <f t="shared" si="15"/>
        <v>60.09</v>
      </c>
      <c r="S57" s="50">
        <f t="shared" si="15"/>
        <v>0</v>
      </c>
      <c r="T57" s="16">
        <f t="shared" si="9"/>
        <v>188.98</v>
      </c>
      <c r="U57" s="16">
        <f t="shared" si="10"/>
        <v>2790.2400000000002</v>
      </c>
      <c r="V57" s="16">
        <f t="shared" si="11"/>
        <v>10145.719999999999</v>
      </c>
      <c r="W57" s="16">
        <f t="shared" si="12"/>
        <v>15667.18</v>
      </c>
    </row>
    <row r="58" spans="1:23" x14ac:dyDescent="0.25">
      <c r="A58" s="15" t="s">
        <v>57</v>
      </c>
      <c r="B58" s="22">
        <f t="shared" ref="B58:S58" si="16">(((B33)+(B39))+(B40))+(B57)</f>
        <v>55364.229999999996</v>
      </c>
      <c r="C58" s="22">
        <f t="shared" si="16"/>
        <v>67459.17</v>
      </c>
      <c r="D58" s="27">
        <f t="shared" si="16"/>
        <v>0</v>
      </c>
      <c r="E58" s="27">
        <f t="shared" si="16"/>
        <v>0</v>
      </c>
      <c r="F58" s="16">
        <f t="shared" si="16"/>
        <v>0</v>
      </c>
      <c r="G58" s="16">
        <f t="shared" si="16"/>
        <v>0</v>
      </c>
      <c r="H58" s="30">
        <f t="shared" si="16"/>
        <v>0</v>
      </c>
      <c r="I58" s="30">
        <f t="shared" si="16"/>
        <v>819.83</v>
      </c>
      <c r="J58" s="34">
        <f t="shared" si="16"/>
        <v>232</v>
      </c>
      <c r="K58" s="34">
        <f t="shared" si="16"/>
        <v>2333.34</v>
      </c>
      <c r="L58" s="38">
        <f t="shared" si="16"/>
        <v>0</v>
      </c>
      <c r="M58" s="38">
        <f t="shared" si="16"/>
        <v>666.67</v>
      </c>
      <c r="N58" s="42">
        <f t="shared" si="16"/>
        <v>8.89</v>
      </c>
      <c r="O58" s="42">
        <f t="shared" si="16"/>
        <v>970.42000000000007</v>
      </c>
      <c r="P58" s="46">
        <f t="shared" si="16"/>
        <v>120</v>
      </c>
      <c r="Q58" s="46">
        <f t="shared" si="16"/>
        <v>833.32000000000016</v>
      </c>
      <c r="R58" s="50">
        <f t="shared" si="16"/>
        <v>120.09</v>
      </c>
      <c r="S58" s="50">
        <f t="shared" si="16"/>
        <v>416.67</v>
      </c>
      <c r="T58" s="16">
        <f t="shared" si="9"/>
        <v>480.98</v>
      </c>
      <c r="U58" s="16">
        <f t="shared" si="10"/>
        <v>6040.25</v>
      </c>
      <c r="V58" s="16">
        <f t="shared" si="11"/>
        <v>55845.21</v>
      </c>
      <c r="W58" s="16">
        <f t="shared" si="12"/>
        <v>73499.42</v>
      </c>
    </row>
    <row r="59" spans="1:23" x14ac:dyDescent="0.25">
      <c r="A59" s="15" t="s">
        <v>56</v>
      </c>
      <c r="B59" s="22">
        <f t="shared" ref="B59:S59" si="17">(B26)-(B58)</f>
        <v>-55364.229999999996</v>
      </c>
      <c r="C59" s="22">
        <f t="shared" si="17"/>
        <v>-67459.17</v>
      </c>
      <c r="D59" s="27">
        <f t="shared" si="17"/>
        <v>134379.79999999999</v>
      </c>
      <c r="E59" s="27">
        <f t="shared" si="17"/>
        <v>73591.66</v>
      </c>
      <c r="F59" s="16">
        <f t="shared" si="17"/>
        <v>0</v>
      </c>
      <c r="G59" s="16">
        <f t="shared" si="17"/>
        <v>0</v>
      </c>
      <c r="H59" s="30">
        <f t="shared" si="17"/>
        <v>0</v>
      </c>
      <c r="I59" s="30">
        <f t="shared" si="17"/>
        <v>-819.83</v>
      </c>
      <c r="J59" s="34">
        <f t="shared" si="17"/>
        <v>-232</v>
      </c>
      <c r="K59" s="34">
        <f t="shared" si="17"/>
        <v>-2333.34</v>
      </c>
      <c r="L59" s="38">
        <f t="shared" si="17"/>
        <v>0</v>
      </c>
      <c r="M59" s="38">
        <f t="shared" si="17"/>
        <v>-666.67</v>
      </c>
      <c r="N59" s="42">
        <f t="shared" si="17"/>
        <v>-8.89</v>
      </c>
      <c r="O59" s="42">
        <f t="shared" si="17"/>
        <v>-970.42000000000007</v>
      </c>
      <c r="P59" s="46">
        <f t="shared" si="17"/>
        <v>-120</v>
      </c>
      <c r="Q59" s="46">
        <f t="shared" si="17"/>
        <v>-833.32000000000016</v>
      </c>
      <c r="R59" s="50">
        <f t="shared" si="17"/>
        <v>-120.09</v>
      </c>
      <c r="S59" s="50">
        <f t="shared" si="17"/>
        <v>-416.67</v>
      </c>
      <c r="T59" s="16">
        <f t="shared" si="9"/>
        <v>-480.98</v>
      </c>
      <c r="U59" s="16">
        <f t="shared" si="10"/>
        <v>-6040.25</v>
      </c>
      <c r="V59" s="16">
        <f t="shared" si="11"/>
        <v>78534.59</v>
      </c>
      <c r="W59" s="16">
        <f t="shared" si="12"/>
        <v>92.240000000005239</v>
      </c>
    </row>
    <row r="60" spans="1:23" x14ac:dyDescent="0.25">
      <c r="A60" s="15" t="s">
        <v>55</v>
      </c>
      <c r="B60" s="22">
        <f t="shared" ref="B60:S60" si="18">(B59)+(0)</f>
        <v>-55364.229999999996</v>
      </c>
      <c r="C60" s="22">
        <f t="shared" si="18"/>
        <v>-67459.17</v>
      </c>
      <c r="D60" s="27">
        <f t="shared" si="18"/>
        <v>134379.79999999999</v>
      </c>
      <c r="E60" s="27">
        <f t="shared" si="18"/>
        <v>73591.66</v>
      </c>
      <c r="F60" s="16">
        <f t="shared" si="18"/>
        <v>0</v>
      </c>
      <c r="G60" s="16">
        <f t="shared" si="18"/>
        <v>0</v>
      </c>
      <c r="H60" s="30">
        <f t="shared" si="18"/>
        <v>0</v>
      </c>
      <c r="I60" s="30">
        <f t="shared" si="18"/>
        <v>-819.83</v>
      </c>
      <c r="J60" s="34">
        <f t="shared" si="18"/>
        <v>-232</v>
      </c>
      <c r="K60" s="34">
        <f t="shared" si="18"/>
        <v>-2333.34</v>
      </c>
      <c r="L60" s="38">
        <f t="shared" si="18"/>
        <v>0</v>
      </c>
      <c r="M60" s="38">
        <f t="shared" si="18"/>
        <v>-666.67</v>
      </c>
      <c r="N60" s="42">
        <f t="shared" si="18"/>
        <v>-8.89</v>
      </c>
      <c r="O60" s="42">
        <f t="shared" si="18"/>
        <v>-970.42000000000007</v>
      </c>
      <c r="P60" s="46">
        <f t="shared" si="18"/>
        <v>-120</v>
      </c>
      <c r="Q60" s="46">
        <f t="shared" si="18"/>
        <v>-833.32000000000016</v>
      </c>
      <c r="R60" s="50">
        <f t="shared" si="18"/>
        <v>-120.09</v>
      </c>
      <c r="S60" s="50">
        <f t="shared" si="18"/>
        <v>-416.67</v>
      </c>
      <c r="T60" s="16">
        <f t="shared" si="9"/>
        <v>-480.98</v>
      </c>
      <c r="U60" s="16">
        <f t="shared" si="10"/>
        <v>-6040.25</v>
      </c>
      <c r="V60" s="16">
        <f t="shared" si="11"/>
        <v>78534.59</v>
      </c>
      <c r="W60" s="16">
        <f t="shared" si="12"/>
        <v>92.240000000005239</v>
      </c>
    </row>
    <row r="61" spans="1:23" x14ac:dyDescent="0.25">
      <c r="A61" s="15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4" spans="1:23" x14ac:dyDescent="0.25">
      <c r="A64" s="59" t="s">
        <v>54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</row>
  </sheetData>
  <mergeCells count="15">
    <mergeCell ref="V5:W5"/>
    <mergeCell ref="A64:W64"/>
    <mergeCell ref="A1:W1"/>
    <mergeCell ref="A2:W2"/>
    <mergeCell ref="A3:W3"/>
    <mergeCell ref="L5:M5"/>
    <mergeCell ref="N5:O5"/>
    <mergeCell ref="P5:Q5"/>
    <mergeCell ref="R5:S5"/>
    <mergeCell ref="T5:U5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305CEA4C392E4E83FA85D2813B0B08" ma:contentTypeVersion="18" ma:contentTypeDescription="Create a new document." ma:contentTypeScope="" ma:versionID="695aa19681ef96d3d0faf1027271c775">
  <xsd:schema xmlns:xsd="http://www.w3.org/2001/XMLSchema" xmlns:xs="http://www.w3.org/2001/XMLSchema" xmlns:p="http://schemas.microsoft.com/office/2006/metadata/properties" xmlns:ns2="d488998e-ea57-4353-ba9c-f4b7a64634c6" xmlns:ns3="5e99e8e1-a0b2-476e-826d-f27bd950dab0" targetNamespace="http://schemas.microsoft.com/office/2006/metadata/properties" ma:root="true" ma:fieldsID="f6998105c37a4d55656c953983ce4842" ns2:_="" ns3:_="">
    <xsd:import namespace="d488998e-ea57-4353-ba9c-f4b7a64634c6"/>
    <xsd:import namespace="5e99e8e1-a0b2-476e-826d-f27bd950da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8998e-ea57-4353-ba9c-f4b7a64634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c978cfb-b141-478a-8c5a-5a45919a00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9e8e1-a0b2-476e-826d-f27bd950dab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54578ed-c9b3-4402-ba79-e0bf487e2d64}" ma:internalName="TaxCatchAll" ma:showField="CatchAllData" ma:web="5e99e8e1-a0b2-476e-826d-f27bd950da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88998e-ea57-4353-ba9c-f4b7a64634c6">
      <Terms xmlns="http://schemas.microsoft.com/office/infopath/2007/PartnerControls"/>
    </lcf76f155ced4ddcb4097134ff3c332f>
    <TaxCatchAll xmlns="5e99e8e1-a0b2-476e-826d-f27bd950dab0" xsi:nil="true"/>
  </documentManagement>
</p:properties>
</file>

<file path=customXml/itemProps1.xml><?xml version="1.0" encoding="utf-8"?>
<ds:datastoreItem xmlns:ds="http://schemas.openxmlformats.org/officeDocument/2006/customXml" ds:itemID="{9A6F9FFB-4ED1-4CC3-ADAC-32A28F2B662D}"/>
</file>

<file path=customXml/itemProps2.xml><?xml version="1.0" encoding="utf-8"?>
<ds:datastoreItem xmlns:ds="http://schemas.openxmlformats.org/officeDocument/2006/customXml" ds:itemID="{7B287EBA-ED96-4D19-BC14-4DFD11628DFA}"/>
</file>

<file path=customXml/itemProps3.xml><?xml version="1.0" encoding="utf-8"?>
<ds:datastoreItem xmlns:ds="http://schemas.openxmlformats.org/officeDocument/2006/customXml" ds:itemID="{7C042DD0-658A-4EF7-A40F-BD76574F11D9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Activity</vt:lpstr>
      <vt:lpstr>Jan Activity by Class</vt:lpstr>
      <vt:lpstr>Budget vs. Actuals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April Vasher-Dean</cp:lastModifiedBy>
  <dcterms:created xsi:type="dcterms:W3CDTF">2022-03-24T08:55:57Z</dcterms:created>
  <dcterms:modified xsi:type="dcterms:W3CDTF">2026-02-17T18:00:19Z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0x01010074305CEA4C392E4E83FA85D2813B0B08</vt:lpwstr>
  </property>
</Properties>
</file>