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aldezmuseum-my.sharepoint.com/personal/prelay_valdezmuseum_org/Documents/Finance/Budget Stuff/2023/"/>
    </mc:Choice>
  </mc:AlternateContent>
  <xr:revisionPtr revIDLastSave="0" documentId="8_{8C2C49E6-324C-48B5-BDC2-E0A8DD7A59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1 2023 Budget Adjustment" sheetId="1" r:id="rId1"/>
    <sheet name="Travel Budget" sheetId="2" r:id="rId2"/>
    <sheet name="Caren O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62" i="1" l="1"/>
  <c r="C26" i="2"/>
  <c r="G21" i="2"/>
  <c r="K21" i="2" s="1"/>
  <c r="I16" i="2"/>
  <c r="I130" i="1"/>
  <c r="I172" i="1" s="1"/>
  <c r="K20" i="2"/>
  <c r="C28" i="2" s="1"/>
  <c r="K19" i="2"/>
  <c r="C27" i="2" s="1"/>
  <c r="K18" i="2"/>
  <c r="K15" i="2"/>
  <c r="K14" i="2"/>
  <c r="K13" i="2"/>
  <c r="K10" i="2"/>
  <c r="K9" i="2"/>
  <c r="K8" i="2"/>
  <c r="K3" i="2"/>
  <c r="K4" i="2"/>
  <c r="K5" i="2"/>
  <c r="I11" i="2"/>
  <c r="G11" i="2"/>
  <c r="E21" i="2"/>
  <c r="E16" i="2"/>
  <c r="E11" i="2"/>
  <c r="I6" i="2"/>
  <c r="G6" i="2"/>
  <c r="E6" i="2"/>
  <c r="C21" i="2"/>
  <c r="C16" i="2"/>
  <c r="C11" i="2"/>
  <c r="C6" i="2"/>
  <c r="K6" i="2" s="1"/>
  <c r="E91" i="1"/>
  <c r="C91" i="1"/>
  <c r="E56" i="1"/>
  <c r="C115" i="1"/>
  <c r="C172" i="1"/>
  <c r="C173" i="1"/>
  <c r="C174" i="1"/>
  <c r="K174" i="1"/>
  <c r="K170" i="1"/>
  <c r="K169" i="1"/>
  <c r="K167" i="1"/>
  <c r="K166" i="1"/>
  <c r="K165" i="1"/>
  <c r="K164" i="1"/>
  <c r="K163" i="1"/>
  <c r="K161" i="1"/>
  <c r="K160" i="1"/>
  <c r="K159" i="1"/>
  <c r="K158" i="1"/>
  <c r="K157" i="1"/>
  <c r="K155" i="1"/>
  <c r="K154" i="1"/>
  <c r="K153" i="1"/>
  <c r="K152" i="1"/>
  <c r="K151" i="1"/>
  <c r="K150" i="1"/>
  <c r="K149" i="1"/>
  <c r="K148" i="1"/>
  <c r="K147" i="1"/>
  <c r="K146" i="1"/>
  <c r="K144" i="1"/>
  <c r="K143" i="1"/>
  <c r="K142" i="1"/>
  <c r="K141" i="1"/>
  <c r="K135" i="1"/>
  <c r="K136" i="1"/>
  <c r="K137" i="1"/>
  <c r="K138" i="1"/>
  <c r="K139" i="1"/>
  <c r="K134" i="1"/>
  <c r="K132" i="1"/>
  <c r="K131" i="1"/>
  <c r="K129" i="1"/>
  <c r="K128" i="1"/>
  <c r="K126" i="1"/>
  <c r="K125" i="1"/>
  <c r="K124" i="1"/>
  <c r="K123" i="1"/>
  <c r="K122" i="1"/>
  <c r="K120" i="1"/>
  <c r="K119" i="1"/>
  <c r="K118" i="1"/>
  <c r="K117" i="1"/>
  <c r="K108" i="1"/>
  <c r="K111" i="1"/>
  <c r="I125" i="1"/>
  <c r="I120" i="1"/>
  <c r="I112" i="1"/>
  <c r="I159" i="1"/>
  <c r="I166" i="1"/>
  <c r="I171" i="1"/>
  <c r="K171" i="1"/>
  <c r="I151" i="1"/>
  <c r="I150" i="1"/>
  <c r="I149" i="1"/>
  <c r="I148" i="1"/>
  <c r="I147" i="1"/>
  <c r="I146" i="1"/>
  <c r="I138" i="1"/>
  <c r="I137" i="1"/>
  <c r="I136" i="1"/>
  <c r="I135" i="1"/>
  <c r="I134" i="1"/>
  <c r="K11" i="2"/>
  <c r="I139" i="1"/>
  <c r="I152" i="1"/>
  <c r="I115" i="1"/>
  <c r="K115" i="1"/>
  <c r="I143" i="1"/>
  <c r="I103" i="1"/>
  <c r="I98" i="1"/>
  <c r="K59" i="1"/>
  <c r="K60" i="1"/>
  <c r="K68" i="1"/>
  <c r="K71" i="1"/>
  <c r="K72" i="1"/>
  <c r="K79" i="1"/>
  <c r="K81" i="1"/>
  <c r="K45" i="1"/>
  <c r="K41" i="1"/>
  <c r="K40" i="1"/>
  <c r="K39" i="1"/>
  <c r="K38" i="1"/>
  <c r="I91" i="1"/>
  <c r="K30" i="1"/>
  <c r="I36" i="1"/>
  <c r="K24" i="1"/>
  <c r="K23" i="1"/>
  <c r="K19" i="1"/>
  <c r="K17" i="1"/>
  <c r="G19" i="1"/>
  <c r="K13" i="1"/>
  <c r="I16" i="1"/>
  <c r="I25" i="1"/>
  <c r="I10" i="1"/>
  <c r="G108" i="1"/>
  <c r="G81" i="1"/>
  <c r="G79" i="1"/>
  <c r="G76" i="1"/>
  <c r="G74" i="1"/>
  <c r="G68" i="1"/>
  <c r="G59" i="1"/>
  <c r="G45" i="1"/>
  <c r="G30" i="1"/>
  <c r="E169" i="1"/>
  <c r="E165" i="1"/>
  <c r="E166" i="1"/>
  <c r="E158" i="1"/>
  <c r="E157" i="1"/>
  <c r="E159" i="1"/>
  <c r="E155" i="1"/>
  <c r="E154" i="1"/>
  <c r="E153" i="1"/>
  <c r="E151" i="1"/>
  <c r="E149" i="1"/>
  <c r="E148" i="1"/>
  <c r="E147" i="1"/>
  <c r="E146" i="1"/>
  <c r="E144" i="1"/>
  <c r="E142" i="1"/>
  <c r="E141" i="1"/>
  <c r="E138" i="1"/>
  <c r="E137" i="1"/>
  <c r="E136" i="1"/>
  <c r="E135" i="1"/>
  <c r="E134" i="1"/>
  <c r="E133" i="1"/>
  <c r="G133" i="1"/>
  <c r="E132" i="1"/>
  <c r="E131" i="1"/>
  <c r="G131" i="1"/>
  <c r="E129" i="1"/>
  <c r="E128" i="1"/>
  <c r="E126" i="1"/>
  <c r="E124" i="1"/>
  <c r="E123" i="1"/>
  <c r="E122" i="1"/>
  <c r="E119" i="1"/>
  <c r="E118" i="1"/>
  <c r="E117" i="1"/>
  <c r="E120" i="1"/>
  <c r="E114" i="1"/>
  <c r="E115" i="1"/>
  <c r="E111" i="1"/>
  <c r="G111" i="1"/>
  <c r="E110" i="1"/>
  <c r="E109" i="1"/>
  <c r="E107" i="1"/>
  <c r="E106" i="1"/>
  <c r="E105" i="1"/>
  <c r="E104" i="1"/>
  <c r="E102" i="1"/>
  <c r="E103" i="1"/>
  <c r="E97" i="1"/>
  <c r="E96" i="1"/>
  <c r="E44" i="1"/>
  <c r="E40" i="1"/>
  <c r="G40" i="1"/>
  <c r="E39" i="1"/>
  <c r="E38" i="1"/>
  <c r="G38" i="1"/>
  <c r="E35" i="1"/>
  <c r="E33" i="1"/>
  <c r="E32" i="1"/>
  <c r="E31" i="1"/>
  <c r="E28" i="1"/>
  <c r="E26" i="1"/>
  <c r="E23" i="1"/>
  <c r="E24" i="1"/>
  <c r="G24" i="1"/>
  <c r="E20" i="1"/>
  <c r="E18" i="1"/>
  <c r="E17" i="1"/>
  <c r="E15" i="1"/>
  <c r="E13" i="1"/>
  <c r="G13" i="1"/>
  <c r="E9" i="1"/>
  <c r="E8" i="1"/>
  <c r="E7" i="1"/>
  <c r="C170" i="1"/>
  <c r="C169" i="1"/>
  <c r="C167" i="1"/>
  <c r="C165" i="1"/>
  <c r="C166" i="1"/>
  <c r="C163" i="1"/>
  <c r="G163" i="1"/>
  <c r="C161" i="1"/>
  <c r="G161" i="1"/>
  <c r="C160" i="1"/>
  <c r="G160" i="1"/>
  <c r="C158" i="1"/>
  <c r="C157" i="1"/>
  <c r="C155" i="1"/>
  <c r="C154" i="1"/>
  <c r="C153" i="1"/>
  <c r="G153" i="1"/>
  <c r="C151" i="1"/>
  <c r="C150" i="1"/>
  <c r="G150" i="1"/>
  <c r="C149" i="1"/>
  <c r="G149" i="1"/>
  <c r="C148" i="1"/>
  <c r="G148" i="1"/>
  <c r="C147" i="1"/>
  <c r="G147" i="1"/>
  <c r="C146" i="1"/>
  <c r="C144" i="1"/>
  <c r="G144" i="1"/>
  <c r="C142" i="1"/>
  <c r="G142" i="1"/>
  <c r="C141" i="1"/>
  <c r="G141" i="1"/>
  <c r="C138" i="1"/>
  <c r="G138" i="1"/>
  <c r="C137" i="1"/>
  <c r="G137" i="1"/>
  <c r="C136" i="1"/>
  <c r="G136" i="1"/>
  <c r="C135" i="1"/>
  <c r="G135" i="1"/>
  <c r="C134" i="1"/>
  <c r="G134" i="1"/>
  <c r="C132" i="1"/>
  <c r="G132" i="1"/>
  <c r="C131" i="1"/>
  <c r="C129" i="1"/>
  <c r="C128" i="1"/>
  <c r="C126" i="1"/>
  <c r="C124" i="1"/>
  <c r="C123" i="1"/>
  <c r="C122" i="1"/>
  <c r="C119" i="1"/>
  <c r="G119" i="1"/>
  <c r="C118" i="1"/>
  <c r="G118" i="1"/>
  <c r="C117" i="1"/>
  <c r="C114" i="1"/>
  <c r="C110" i="1"/>
  <c r="C109" i="1"/>
  <c r="K109" i="1"/>
  <c r="C107" i="1"/>
  <c r="K107" i="1"/>
  <c r="C106" i="1"/>
  <c r="K106" i="1"/>
  <c r="C105" i="1"/>
  <c r="C104" i="1"/>
  <c r="K104" i="1"/>
  <c r="C102" i="1"/>
  <c r="C103" i="1"/>
  <c r="K103" i="1"/>
  <c r="C97" i="1"/>
  <c r="K97" i="1"/>
  <c r="C96" i="1"/>
  <c r="K96" i="1"/>
  <c r="C93" i="1"/>
  <c r="G93" i="1"/>
  <c r="C90" i="1"/>
  <c r="G90" i="1"/>
  <c r="C89" i="1"/>
  <c r="G89" i="1"/>
  <c r="C88" i="1"/>
  <c r="G88" i="1"/>
  <c r="C87" i="1"/>
  <c r="G87" i="1"/>
  <c r="C86" i="1"/>
  <c r="G86" i="1"/>
  <c r="C85" i="1"/>
  <c r="G85" i="1"/>
  <c r="C84" i="1"/>
  <c r="G84" i="1"/>
  <c r="C83" i="1"/>
  <c r="G83" i="1"/>
  <c r="C82" i="1"/>
  <c r="G82" i="1"/>
  <c r="C80" i="1"/>
  <c r="G80" i="1"/>
  <c r="C78" i="1"/>
  <c r="G78" i="1"/>
  <c r="C77" i="1"/>
  <c r="G77" i="1"/>
  <c r="C76" i="1"/>
  <c r="K76" i="1"/>
  <c r="C75" i="1"/>
  <c r="G75" i="1"/>
  <c r="C74" i="1"/>
  <c r="K74" i="1"/>
  <c r="C73" i="1"/>
  <c r="G73" i="1"/>
  <c r="C72" i="1"/>
  <c r="G72" i="1"/>
  <c r="C71" i="1"/>
  <c r="G71" i="1"/>
  <c r="C70" i="1"/>
  <c r="G70" i="1"/>
  <c r="C69" i="1"/>
  <c r="G69" i="1"/>
  <c r="C67" i="1"/>
  <c r="G67" i="1"/>
  <c r="C66" i="1"/>
  <c r="G66" i="1"/>
  <c r="C65" i="1"/>
  <c r="G65" i="1"/>
  <c r="C64" i="1"/>
  <c r="K64" i="1"/>
  <c r="C63" i="1"/>
  <c r="G63" i="1"/>
  <c r="C62" i="1"/>
  <c r="G62" i="1"/>
  <c r="C61" i="1"/>
  <c r="G61" i="1"/>
  <c r="C60" i="1"/>
  <c r="G60" i="1"/>
  <c r="C58" i="1"/>
  <c r="G58" i="1"/>
  <c r="C57" i="1"/>
  <c r="G57" i="1"/>
  <c r="C55" i="1"/>
  <c r="G55" i="1"/>
  <c r="C54" i="1"/>
  <c r="G54" i="1"/>
  <c r="C53" i="1"/>
  <c r="G53" i="1"/>
  <c r="C52" i="1"/>
  <c r="G52" i="1"/>
  <c r="C51" i="1"/>
  <c r="G51" i="1"/>
  <c r="C50" i="1"/>
  <c r="K50" i="1"/>
  <c r="C49" i="1"/>
  <c r="G49" i="1"/>
  <c r="C48" i="1"/>
  <c r="G48" i="1"/>
  <c r="C47" i="1"/>
  <c r="G47" i="1"/>
  <c r="C46" i="1"/>
  <c r="G46" i="1"/>
  <c r="C43" i="1"/>
  <c r="C44" i="1"/>
  <c r="C35" i="1"/>
  <c r="G35" i="1"/>
  <c r="C34" i="1"/>
  <c r="K34" i="1"/>
  <c r="C33" i="1"/>
  <c r="C32" i="1"/>
  <c r="C31" i="1"/>
  <c r="C28" i="1"/>
  <c r="C26" i="1"/>
  <c r="G26" i="1"/>
  <c r="C21" i="1"/>
  <c r="K21" i="1"/>
  <c r="C20" i="1"/>
  <c r="G20" i="1"/>
  <c r="C18" i="1"/>
  <c r="G18" i="1"/>
  <c r="C17" i="1"/>
  <c r="C15" i="1"/>
  <c r="C14" i="1"/>
  <c r="C9" i="1"/>
  <c r="C8" i="1"/>
  <c r="C7" i="1"/>
  <c r="K7" i="1"/>
  <c r="G31" i="1"/>
  <c r="K18" i="1"/>
  <c r="K46" i="1"/>
  <c r="G8" i="1"/>
  <c r="G158" i="1"/>
  <c r="G103" i="1"/>
  <c r="K84" i="1"/>
  <c r="G122" i="1"/>
  <c r="G33" i="1"/>
  <c r="G124" i="1"/>
  <c r="G9" i="1"/>
  <c r="G105" i="1"/>
  <c r="K105" i="1"/>
  <c r="E171" i="1"/>
  <c r="K82" i="1"/>
  <c r="G155" i="1"/>
  <c r="G32" i="1"/>
  <c r="G44" i="1"/>
  <c r="K35" i="1"/>
  <c r="G115" i="1"/>
  <c r="K114" i="1"/>
  <c r="G117" i="1"/>
  <c r="G64" i="1"/>
  <c r="G110" i="1"/>
  <c r="K110" i="1"/>
  <c r="E139" i="1"/>
  <c r="K32" i="1"/>
  <c r="K67" i="1"/>
  <c r="K33" i="1"/>
  <c r="K47" i="1"/>
  <c r="K70" i="1"/>
  <c r="K58" i="1"/>
  <c r="K93" i="1"/>
  <c r="G128" i="1"/>
  <c r="G129" i="1"/>
  <c r="K20" i="1"/>
  <c r="K48" i="1"/>
  <c r="K69" i="1"/>
  <c r="K57" i="1"/>
  <c r="G17" i="1"/>
  <c r="G109" i="1"/>
  <c r="G166" i="1"/>
  <c r="K31" i="1"/>
  <c r="K49" i="1"/>
  <c r="K80" i="1"/>
  <c r="G126" i="1"/>
  <c r="K55" i="1"/>
  <c r="K102" i="1"/>
  <c r="K90" i="1"/>
  <c r="K78" i="1"/>
  <c r="K66" i="1"/>
  <c r="K54" i="1"/>
  <c r="G14" i="1"/>
  <c r="G21" i="1"/>
  <c r="G151" i="1"/>
  <c r="G170" i="1"/>
  <c r="E98" i="1"/>
  <c r="G104" i="1"/>
  <c r="K89" i="1"/>
  <c r="K77" i="1"/>
  <c r="K65" i="1"/>
  <c r="K53" i="1"/>
  <c r="G34" i="1"/>
  <c r="K88" i="1"/>
  <c r="K52" i="1"/>
  <c r="G15" i="1"/>
  <c r="G167" i="1"/>
  <c r="G50" i="1"/>
  <c r="K26" i="1"/>
  <c r="G28" i="1"/>
  <c r="G96" i="1"/>
  <c r="G154" i="1"/>
  <c r="E125" i="1"/>
  <c r="I92" i="1"/>
  <c r="I94" i="1"/>
  <c r="I99" i="1" s="1"/>
  <c r="K87" i="1"/>
  <c r="K75" i="1"/>
  <c r="K63" i="1"/>
  <c r="K51" i="1"/>
  <c r="G97" i="1"/>
  <c r="K28" i="1"/>
  <c r="K43" i="1"/>
  <c r="K86" i="1"/>
  <c r="K62" i="1"/>
  <c r="K83" i="1"/>
  <c r="G106" i="1"/>
  <c r="G146" i="1"/>
  <c r="G169" i="1"/>
  <c r="G7" i="1"/>
  <c r="G123" i="1"/>
  <c r="G157" i="1"/>
  <c r="E143" i="1"/>
  <c r="K44" i="1"/>
  <c r="K85" i="1"/>
  <c r="K73" i="1"/>
  <c r="K61" i="1"/>
  <c r="G23" i="1"/>
  <c r="K8" i="1"/>
  <c r="E152" i="1"/>
  <c r="G107" i="1"/>
  <c r="K9" i="1"/>
  <c r="G43" i="1"/>
  <c r="G165" i="1"/>
  <c r="K14" i="1"/>
  <c r="K15" i="1"/>
  <c r="G114" i="1"/>
  <c r="E112" i="1"/>
  <c r="E130" i="1"/>
  <c r="G102" i="1"/>
  <c r="E41" i="1"/>
  <c r="G41" i="1"/>
  <c r="C56" i="1"/>
  <c r="K56" i="1"/>
  <c r="E36" i="1"/>
  <c r="C143" i="1"/>
  <c r="G143" i="1"/>
  <c r="E16" i="1"/>
  <c r="E25" i="1"/>
  <c r="E10" i="1"/>
  <c r="C125" i="1"/>
  <c r="C130" i="1"/>
  <c r="C159" i="1"/>
  <c r="G159" i="1"/>
  <c r="C16" i="1"/>
  <c r="K16" i="1"/>
  <c r="C98" i="1"/>
  <c r="C112" i="1"/>
  <c r="K112" i="1"/>
  <c r="C171" i="1"/>
  <c r="C152" i="1"/>
  <c r="G152" i="1"/>
  <c r="C36" i="1"/>
  <c r="G36" i="1"/>
  <c r="C139" i="1"/>
  <c r="G139" i="1"/>
  <c r="C10" i="1"/>
  <c r="C120" i="1"/>
  <c r="G120" i="1"/>
  <c r="G171" i="1"/>
  <c r="K36" i="1"/>
  <c r="K92" i="1" s="1"/>
  <c r="K94" i="1" s="1"/>
  <c r="K99" i="1" s="1"/>
  <c r="G98" i="1"/>
  <c r="K98" i="1"/>
  <c r="G125" i="1"/>
  <c r="E172" i="1"/>
  <c r="E92" i="1"/>
  <c r="E94" i="1"/>
  <c r="G112" i="1"/>
  <c r="G10" i="1"/>
  <c r="G56" i="1"/>
  <c r="K10" i="1"/>
  <c r="C25" i="1"/>
  <c r="G16" i="1"/>
  <c r="G130" i="1"/>
  <c r="G172" i="1"/>
  <c r="G91" i="1"/>
  <c r="K91" i="1"/>
  <c r="C92" i="1"/>
  <c r="G25" i="1"/>
  <c r="K25" i="1"/>
  <c r="C94" i="1"/>
  <c r="C99" i="1"/>
  <c r="G92" i="1"/>
  <c r="E99" i="1"/>
  <c r="G94" i="1"/>
  <c r="G99" i="1"/>
  <c r="E173" i="1"/>
  <c r="G173" i="1"/>
  <c r="K16" i="2" l="1"/>
  <c r="K24" i="2" s="1"/>
  <c r="I173" i="1"/>
  <c r="K173" i="1" s="1"/>
  <c r="K172" i="1"/>
  <c r="K13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Patricia Relay</author>
  </authors>
  <commentList>
    <comment ref="E5" authorId="0" shapeId="0" xr:uid="{EA3BD051-7927-4084-A926-D5712FAF0165}">
      <text>
        <r>
          <rPr>
            <b/>
            <sz val="9"/>
            <color indexed="81"/>
            <rFont val="Tahoma"/>
            <family val="2"/>
          </rPr>
          <t>Patricia Relay:</t>
        </r>
        <r>
          <rPr>
            <sz val="9"/>
            <color indexed="81"/>
            <rFont val="Tahoma"/>
            <family val="2"/>
          </rPr>
          <t xml:space="preserve">
380 Driving
750 hotel</t>
        </r>
      </text>
    </comment>
  </commentList>
</comments>
</file>

<file path=xl/sharedStrings.xml><?xml version="1.0" encoding="utf-8"?>
<sst xmlns="http://schemas.openxmlformats.org/spreadsheetml/2006/main" count="232" uniqueCount="218">
  <si>
    <t>Revenue</t>
  </si>
  <si>
    <t xml:space="preserve">   4200 Grants</t>
  </si>
  <si>
    <t xml:space="preserve">      8006 State of Alaska</t>
  </si>
  <si>
    <t xml:space="preserve">      8032 4110 City of Valdez</t>
  </si>
  <si>
    <t xml:space="preserve">      8033 Foundation</t>
  </si>
  <si>
    <t xml:space="preserve">   Total 4200 Grants</t>
  </si>
  <si>
    <t xml:space="preserve">   8003 Fund Development</t>
  </si>
  <si>
    <t xml:space="preserve">      4030 Donations Income</t>
  </si>
  <si>
    <t xml:space="preserve">         8002 Unrestricted</t>
  </si>
  <si>
    <t xml:space="preserve">         8062 6145 In-Kind Income</t>
  </si>
  <si>
    <t xml:space="preserve">      Total 4030 Donations Income</t>
  </si>
  <si>
    <t xml:space="preserve">      8004 Corporate Sponsorship</t>
  </si>
  <si>
    <t xml:space="preserve">      8021 Annual Appeal</t>
  </si>
  <si>
    <t xml:space="preserve">      8060 Roadhouse Dinner</t>
  </si>
  <si>
    <t xml:space="preserve">      8061 Membership</t>
  </si>
  <si>
    <t xml:space="preserve">   Total 8003 Fund Development</t>
  </si>
  <si>
    <t xml:space="preserve">   8011 Reimbursed Expenses</t>
  </si>
  <si>
    <t xml:space="preserve">   8024 Earned Revenue</t>
  </si>
  <si>
    <t xml:space="preserve">      4110 Shipping and Delivery Income</t>
  </si>
  <si>
    <t xml:space="preserve">      4120 Museum Fees</t>
  </si>
  <si>
    <t xml:space="preserve">         80011 Presenter &amp; Guide Income</t>
  </si>
  <si>
    <t xml:space="preserve">         8009 Admission Fees - Tour/Bulk</t>
  </si>
  <si>
    <t xml:space="preserve">         8010 Archival Fees</t>
  </si>
  <si>
    <t xml:space="preserve">         8026 Admissions - General</t>
  </si>
  <si>
    <t xml:space="preserve">         8159 Space Rental</t>
  </si>
  <si>
    <t xml:space="preserve">      Total 4120 Museum Fees</t>
  </si>
  <si>
    <t xml:space="preserve">      8025 Program Fees</t>
  </si>
  <si>
    <t xml:space="preserve">         8025.1 Enrollment Fees</t>
  </si>
  <si>
    <t xml:space="preserve">      Total 8025 Program Fees</t>
  </si>
  <si>
    <t xml:space="preserve">      8027 Store Sales</t>
  </si>
  <si>
    <t xml:space="preserve">         8012 Cards</t>
  </si>
  <si>
    <t xml:space="preserve">         8013 Books</t>
  </si>
  <si>
    <t xml:space="preserve">         8014 Childrens Books</t>
  </si>
  <si>
    <t xml:space="preserve">         8015 Gallery Sales</t>
  </si>
  <si>
    <t xml:space="preserve">         8017 Other Items</t>
  </si>
  <si>
    <t xml:space="preserve">         8029 Fundraising</t>
  </si>
  <si>
    <t xml:space="preserve">         8063 Copies/Fax</t>
  </si>
  <si>
    <t xml:space="preserve">         8164 Miscellaneous</t>
  </si>
  <si>
    <t xml:space="preserve">         8165 Audio/Video</t>
  </si>
  <si>
    <t xml:space="preserve">            Video/Audio</t>
  </si>
  <si>
    <t xml:space="preserve">         Total 8165 Audio/Video</t>
  </si>
  <si>
    <t xml:space="preserve">         8166 Post Cards</t>
  </si>
  <si>
    <t xml:space="preserve">         8167 Plush/Puppets</t>
  </si>
  <si>
    <t xml:space="preserve">         Art Supplies</t>
  </si>
  <si>
    <t xml:space="preserve">         Body &amp; Bath Products</t>
  </si>
  <si>
    <t xml:space="preserve">         Bookmark</t>
  </si>
  <si>
    <t xml:space="preserve">         Candy</t>
  </si>
  <si>
    <t xml:space="preserve">         Childrens Toys</t>
  </si>
  <si>
    <t xml:space="preserve">         Clothing</t>
  </si>
  <si>
    <t xml:space="preserve">         Discount Income</t>
  </si>
  <si>
    <t xml:space="preserve">         Dog Toys&amp; Treats</t>
  </si>
  <si>
    <t xml:space="preserve">         Food</t>
  </si>
  <si>
    <t xml:space="preserve">         Gold Vials</t>
  </si>
  <si>
    <t xml:space="preserve">         Jewelry</t>
  </si>
  <si>
    <t xml:space="preserve">         Key Chain</t>
  </si>
  <si>
    <t xml:space="preserve">         Kitchen Items</t>
  </si>
  <si>
    <t xml:space="preserve">         Magnet</t>
  </si>
  <si>
    <t xml:space="preserve">         Maps</t>
  </si>
  <si>
    <t xml:space="preserve">         Moosey Chews</t>
  </si>
  <si>
    <t xml:space="preserve">         Mugs</t>
  </si>
  <si>
    <t xml:space="preserve">         Ornament</t>
  </si>
  <si>
    <t xml:space="preserve">         Plush</t>
  </si>
  <si>
    <t xml:space="preserve">         Sales of Product Income</t>
  </si>
  <si>
    <t xml:space="preserve">         Scarves</t>
  </si>
  <si>
    <t xml:space="preserve">         Seeds</t>
  </si>
  <si>
    <t xml:space="preserve">         Stickers</t>
  </si>
  <si>
    <t xml:space="preserve">         Suncatcher</t>
  </si>
  <si>
    <t xml:space="preserve">         Tote Bag</t>
  </si>
  <si>
    <t xml:space="preserve">         Ulu</t>
  </si>
  <si>
    <t xml:space="preserve">         Umbrella</t>
  </si>
  <si>
    <t xml:space="preserve">         Zipper Pulls</t>
  </si>
  <si>
    <t xml:space="preserve">      Total 8027 Store Sales</t>
  </si>
  <si>
    <t xml:space="preserve">   Total 8024 Earned Revenue</t>
  </si>
  <si>
    <t xml:space="preserve">   8501 7015 Interest Income</t>
  </si>
  <si>
    <t>Total Revenue</t>
  </si>
  <si>
    <t>Cost of Goods Sold</t>
  </si>
  <si>
    <t xml:space="preserve">   8101 Cost of Goods Sold</t>
  </si>
  <si>
    <t xml:space="preserve">   8102 Gallery Commission</t>
  </si>
  <si>
    <t>Total Cost of Goods Sold</t>
  </si>
  <si>
    <t>Gross Profit</t>
  </si>
  <si>
    <t>Expenditures</t>
  </si>
  <si>
    <t xml:space="preserve">   6185 Insurance</t>
  </si>
  <si>
    <t xml:space="preserve">      8137 Liability Insurance</t>
  </si>
  <si>
    <t xml:space="preserve">   Total 6185 Insurance</t>
  </si>
  <si>
    <t xml:space="preserve">   8036 Fundraising Expenses</t>
  </si>
  <si>
    <t xml:space="preserve">   8036.1 Membership</t>
  </si>
  <si>
    <t xml:space="preserve">   8037 IT Services</t>
  </si>
  <si>
    <t xml:space="preserve">   8039 Education</t>
  </si>
  <si>
    <t xml:space="preserve">   8040 Collections</t>
  </si>
  <si>
    <t xml:space="preserve">      8042 Collections Supplies</t>
  </si>
  <si>
    <t xml:space="preserve">      8043 Acquisitions</t>
  </si>
  <si>
    <t xml:space="preserve">   Total 8040 Collections</t>
  </si>
  <si>
    <t xml:space="preserve">   8047 Janitoral Services</t>
  </si>
  <si>
    <t xml:space="preserve">      8114 General Janitoral</t>
  </si>
  <si>
    <t xml:space="preserve">   Total 8047 Janitoral Services</t>
  </si>
  <si>
    <t xml:space="preserve">   8048 Utilities</t>
  </si>
  <si>
    <t xml:space="preserve">      8115 Electric</t>
  </si>
  <si>
    <t xml:space="preserve">      8116 Heating Oil</t>
  </si>
  <si>
    <t xml:space="preserve">      8117 Water</t>
  </si>
  <si>
    <t xml:space="preserve">   Total 8048 Utilities</t>
  </si>
  <si>
    <t xml:space="preserve">   8049 Supplies</t>
  </si>
  <si>
    <t xml:space="preserve">      8125 Technology</t>
  </si>
  <si>
    <t xml:space="preserve">      8126 Office Supplies</t>
  </si>
  <si>
    <t xml:space="preserve">      8127 Operating</t>
  </si>
  <si>
    <t xml:space="preserve">   Total 8049 Supplies</t>
  </si>
  <si>
    <t xml:space="preserve">   8053 Advertising/Marketing</t>
  </si>
  <si>
    <t xml:space="preserve">   8056 Travel</t>
  </si>
  <si>
    <t xml:space="preserve">      8142 Meals</t>
  </si>
  <si>
    <t xml:space="preserve">      8143 Travel</t>
  </si>
  <si>
    <t xml:space="preserve">   Total 8056 Travel</t>
  </si>
  <si>
    <t xml:space="preserve">   8058 Public Programs</t>
  </si>
  <si>
    <t xml:space="preserve">   8059 Contingency</t>
  </si>
  <si>
    <t xml:space="preserve">   8103 Personnel Expenses</t>
  </si>
  <si>
    <t xml:space="preserve">      8104 Salaries &amp; Wages</t>
  </si>
  <si>
    <t xml:space="preserve">      8105 ESC Payroll Tax</t>
  </si>
  <si>
    <t xml:space="preserve">      8106 FICA Payroll Tax</t>
  </si>
  <si>
    <t xml:space="preserve">      8107 403(b) - Employer</t>
  </si>
  <si>
    <t xml:space="preserve">      8108 Health Insurance</t>
  </si>
  <si>
    <t xml:space="preserve">   Total 8103 Personnel Expenses</t>
  </si>
  <si>
    <t xml:space="preserve">   8110 Professional Fees</t>
  </si>
  <si>
    <t xml:space="preserve">      8045 Accounting</t>
  </si>
  <si>
    <t xml:space="preserve">      8046 Consulting</t>
  </si>
  <si>
    <t xml:space="preserve">   Total 8110 Professional Fees</t>
  </si>
  <si>
    <t xml:space="preserve">   8113 Vehicle Expense</t>
  </si>
  <si>
    <t xml:space="preserve">   8118 Telephone</t>
  </si>
  <si>
    <t xml:space="preserve">      8119 Fax</t>
  </si>
  <si>
    <t xml:space="preserve">      8120 Internet</t>
  </si>
  <si>
    <t xml:space="preserve">      8121 Local Service</t>
  </si>
  <si>
    <t xml:space="preserve">      8122 Long Distance</t>
  </si>
  <si>
    <t xml:space="preserve">      8124 Conference Line</t>
  </si>
  <si>
    <t xml:space="preserve">      Cell Phone</t>
  </si>
  <si>
    <t xml:space="preserve">   Total 8118 Telephone</t>
  </si>
  <si>
    <t xml:space="preserve">   8123 Postage and Delivery</t>
  </si>
  <si>
    <t xml:space="preserve">   8130 Dues and Subscriptions</t>
  </si>
  <si>
    <t xml:space="preserve">   8131 Printing and Reproduction</t>
  </si>
  <si>
    <t xml:space="preserve">   8134 Rent</t>
  </si>
  <si>
    <t xml:space="preserve">      8055 Building Lease</t>
  </si>
  <si>
    <t xml:space="preserve">      8056.1 Storage Rent</t>
  </si>
  <si>
    <t xml:space="preserve">   Total 8134 Rent</t>
  </si>
  <si>
    <t xml:space="preserve">   8138 Credit Card Fees</t>
  </si>
  <si>
    <t xml:space="preserve">   8139 Bank Service Charges</t>
  </si>
  <si>
    <t xml:space="preserve">   8145 Licenses and Permits</t>
  </si>
  <si>
    <t xml:space="preserve">   8148 Contributions</t>
  </si>
  <si>
    <t xml:space="preserve">      8057 In-Kind Expenses</t>
  </si>
  <si>
    <t xml:space="preserve">   Total 8148 Contributions</t>
  </si>
  <si>
    <t xml:space="preserve">   9002 Freight and Shipping Costs</t>
  </si>
  <si>
    <t xml:space="preserve">   Exhibits</t>
  </si>
  <si>
    <t xml:space="preserve">      8051 Permanent Exhibits</t>
  </si>
  <si>
    <t xml:space="preserve">      8052 Temporary Exhibits</t>
  </si>
  <si>
    <t xml:space="preserve">   Total Exhibits</t>
  </si>
  <si>
    <t>Total Expenditures</t>
  </si>
  <si>
    <t>Net Operating Revenue</t>
  </si>
  <si>
    <t>Net Revenue</t>
  </si>
  <si>
    <t>Wednesday, Dec 28, 2022 04:04:24 PM GMT-8 - Accrual Basis</t>
  </si>
  <si>
    <t>January - December 2023</t>
  </si>
  <si>
    <t xml:space="preserve">VALDEZ MUSEUM &amp; HISTORICAL ARCHIVE </t>
  </si>
  <si>
    <t>FY-2023 - Budget Workbook</t>
  </si>
  <si>
    <t>2022 
Yearend Actuals</t>
  </si>
  <si>
    <t>2023 
Approved Budget</t>
  </si>
  <si>
    <t>2022 / 2023
Difference</t>
  </si>
  <si>
    <t>Q1 2023
Adjustment</t>
  </si>
  <si>
    <t>2023 Budget
Difference</t>
  </si>
  <si>
    <t>Notes</t>
  </si>
  <si>
    <t xml:space="preserve">      8152 Fundraising</t>
  </si>
  <si>
    <t xml:space="preserve">         8023 Designated</t>
  </si>
  <si>
    <t xml:space="preserve">      Total 8152 Fundraising</t>
  </si>
  <si>
    <t xml:space="preserve">         8001 Restricted</t>
  </si>
  <si>
    <t xml:space="preserve">      48600 Service Sales</t>
  </si>
  <si>
    <t xml:space="preserve">         486001 Shipping</t>
  </si>
  <si>
    <t xml:space="preserve">         Admissions - General</t>
  </si>
  <si>
    <t xml:space="preserve">         Services</t>
  </si>
  <si>
    <t xml:space="preserve">      Total 48600 Service Sales</t>
  </si>
  <si>
    <t>DRAFT</t>
  </si>
  <si>
    <t xml:space="preserve">         4126 Other</t>
  </si>
  <si>
    <t xml:space="preserve">         Art</t>
  </si>
  <si>
    <t xml:space="preserve">         Dolls</t>
  </si>
  <si>
    <t xml:space="preserve">         Playing cards</t>
  </si>
  <si>
    <t xml:space="preserve">         Print</t>
  </si>
  <si>
    <t xml:space="preserve">      8043.1 Intern</t>
  </si>
  <si>
    <t xml:space="preserve">      8022 Raffle</t>
  </si>
  <si>
    <t>Raffle Permit has been renewed</t>
  </si>
  <si>
    <t xml:space="preserve">   8144 Training &amp; Education</t>
  </si>
  <si>
    <t xml:space="preserve">Relocation costs </t>
  </si>
  <si>
    <t>Patty</t>
  </si>
  <si>
    <t>Danny</t>
  </si>
  <si>
    <t>Caren</t>
  </si>
  <si>
    <t>Faith</t>
  </si>
  <si>
    <t>Registration</t>
  </si>
  <si>
    <t>Meals</t>
  </si>
  <si>
    <t>Hotel and Travel</t>
  </si>
  <si>
    <t>total</t>
  </si>
  <si>
    <t>MAD
DC</t>
  </si>
  <si>
    <t>ATIA
Fairbanks</t>
  </si>
  <si>
    <t>AAM Annual Mtg
Denver</t>
  </si>
  <si>
    <t>AASLH Annual Mtg
Boise</t>
  </si>
  <si>
    <t>Total</t>
  </si>
  <si>
    <t>Registration/Training</t>
  </si>
  <si>
    <t>Hotel / Travel</t>
  </si>
  <si>
    <t>Conference Dates: Sept 6-9</t>
  </si>
  <si>
    <t>Travel Dates: Sept 5 and Sept 10</t>
  </si>
  <si>
    <r>
      <t>Registration: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$320</t>
    </r>
  </si>
  <si>
    <r>
      <t>Meals: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$200</t>
    </r>
  </si>
  <si>
    <r>
      <t xml:space="preserve">Drive VDZ-ANC: </t>
    </r>
    <r>
      <rPr>
        <sz val="11"/>
        <color indexed="8"/>
        <rFont val="Calibri"/>
        <family val="2"/>
        <scheme val="minor"/>
      </rPr>
      <t> </t>
    </r>
    <r>
      <rPr>
        <b/>
        <sz val="11"/>
        <color indexed="8"/>
        <rFont val="Calibri"/>
        <family val="2"/>
        <scheme val="minor"/>
      </rPr>
      <t>$398.24</t>
    </r>
  </si>
  <si>
    <t>608 miles R/T (304 miles one way) @ 2023 IRS Rate of 65.5 cents/mi = $398.24</t>
  </si>
  <si>
    <r>
      <t>Airfare, ANC-BOI:</t>
    </r>
    <r>
      <rPr>
        <sz val="11"/>
        <color indexed="8"/>
        <rFont val="Calibri"/>
        <family val="2"/>
        <scheme val="minor"/>
      </rPr>
      <t xml:space="preserve"> </t>
    </r>
    <r>
      <rPr>
        <b/>
        <sz val="11"/>
        <color indexed="8"/>
        <rFont val="Calibri"/>
        <family val="2"/>
        <scheme val="minor"/>
      </rPr>
      <t>$637.63 – $757.63</t>
    </r>
  </si>
  <si>
    <t>Total - $637.63 (add $120 for refundable tickets) This is cash only, I did not apply miles.</t>
  </si>
  <si>
    <t>ANC-BOI on 9/5 = $349 + taxes/fees</t>
  </si>
  <si>
    <t>BOI-ANC on 9/0 = $290 + taxes/fees</t>
  </si>
  <si>
    <t>BOI Hotel: $1,160.00</t>
  </si>
  <si>
    <r>
      <t xml:space="preserve">Check in Sept 5, Depart Sept 10 (5 nights @ $232/night) = $1,160.00 </t>
    </r>
    <r>
      <rPr>
        <b/>
        <sz val="11"/>
        <color indexed="8"/>
        <rFont val="Calibri"/>
        <family val="2"/>
        <scheme val="minor"/>
      </rPr>
      <t> </t>
    </r>
  </si>
  <si>
    <r>
      <t>Airport-Hotel transportation</t>
    </r>
    <r>
      <rPr>
        <sz val="11"/>
        <color indexed="8"/>
        <rFont val="Calibri"/>
        <family val="2"/>
        <scheme val="minor"/>
      </rPr>
      <t>: $50</t>
    </r>
  </si>
  <si>
    <r>
      <t>Parking at ANC:</t>
    </r>
    <r>
      <rPr>
        <sz val="11"/>
        <color indexed="8"/>
        <rFont val="Calibri"/>
        <family val="2"/>
        <scheme val="minor"/>
      </rPr>
      <t xml:space="preserve"> 5 nights @ $16 = $80</t>
    </r>
  </si>
  <si>
    <r>
      <t>Total</t>
    </r>
    <r>
      <rPr>
        <sz val="11"/>
        <color indexed="8"/>
        <rFont val="Calibri"/>
        <family val="2"/>
        <scheme val="minor"/>
      </rPr>
      <t>: $2,715,87 – $2,835.87</t>
    </r>
  </si>
  <si>
    <t>1. Registration and Hotel information won’t be available until summer. AALSH estimates registration for early bird full conference member is $320 and hotels will be $139-$179. I added 30% to the highest hotel number. I just looked at Boise for those dates and hotels are running well over $200. Obviously, there is a conference rate, but even $179 seems low to me.</t>
  </si>
  <si>
    <t>2. I am not even going to deal with RAVN for VDZ-ANC-VDZ. Too unpredictable.</t>
  </si>
  <si>
    <t>3. I did not include hotel in ANC. If I decide to stay overnight in ANC (rather than drive day of flights) then I assume that is my responsibility.  </t>
  </si>
  <si>
    <t>5K included for Strategic 
Planning Consultant</t>
  </si>
  <si>
    <t xml:space="preserve">42 Cruis ships, plus over land 
and caravans.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</si>
</sst>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2">
    <font>
      <sz val="11"/>
      <color indexed="8"/>
      <name val="Calibri"/>
      <family val="2"/>
      <scheme val="minor"/>
    </font>
    <font>
      <sz val="8"/>
      <color indexed="8"/>
      <name val="Arial"/>
    </font>
    <font>
      <b/>
      <sz val="14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14"/>
      <color indexed="8"/>
      <name val="Calibri"/>
      <family val="2"/>
      <scheme val="minor"/>
    </font>
    <font>
      <sz val="14"/>
      <color indexed="8"/>
      <name val="Arial Nova"/>
      <family val="2"/>
    </font>
    <font>
      <b/>
      <sz val="14"/>
      <color indexed="8"/>
      <name val="Arial Nova"/>
      <family val="2"/>
    </font>
    <font>
      <b/>
      <sz val="11"/>
      <color rgb="FFFF0000"/>
      <name val="Arial Black"/>
      <family val="2"/>
    </font>
    <font>
      <sz val="14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rgb="FFFF0000"/>
      <name val="Arial Nova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/>
    <xf numFmtId="0" fontId="0" fillId="0" borderId="1" xfId="0" applyBorder="1"/>
    <xf numFmtId="0" fontId="5" fillId="0" borderId="1" xfId="0" applyFont="1" applyBorder="1"/>
    <xf numFmtId="44" fontId="5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6" fillId="0" borderId="1" xfId="0" applyFont="1" applyBorder="1"/>
    <xf numFmtId="44" fontId="6" fillId="0" borderId="1" xfId="0" applyNumberFormat="1" applyFont="1" applyBorder="1"/>
    <xf numFmtId="44" fontId="0" fillId="0" borderId="1" xfId="0" applyNumberFormat="1" applyBorder="1"/>
    <xf numFmtId="44" fontId="0" fillId="0" borderId="0" xfId="0" applyNumberFormat="1"/>
    <xf numFmtId="44" fontId="5" fillId="2" borderId="1" xfId="0" applyNumberFormat="1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44" fontId="6" fillId="2" borderId="1" xfId="0" applyNumberFormat="1" applyFont="1" applyFill="1" applyBorder="1"/>
    <xf numFmtId="0" fontId="5" fillId="3" borderId="1" xfId="0" applyFont="1" applyFill="1" applyBorder="1"/>
    <xf numFmtId="44" fontId="5" fillId="3" borderId="1" xfId="0" applyNumberFormat="1" applyFont="1" applyFill="1" applyBorder="1"/>
    <xf numFmtId="0" fontId="6" fillId="4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44" fontId="5" fillId="6" borderId="1" xfId="0" applyNumberFormat="1" applyFont="1" applyFill="1" applyBorder="1"/>
    <xf numFmtId="44" fontId="6" fillId="6" borderId="1" xfId="0" applyNumberFormat="1" applyFont="1" applyFill="1" applyBorder="1"/>
    <xf numFmtId="0" fontId="0" fillId="6" borderId="0" xfId="0" applyFill="1"/>
    <xf numFmtId="44" fontId="5" fillId="7" borderId="1" xfId="0" applyNumberFormat="1" applyFont="1" applyFill="1" applyBorder="1"/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5" fillId="4" borderId="1" xfId="0" applyFont="1" applyFill="1" applyBorder="1"/>
    <xf numFmtId="0" fontId="6" fillId="3" borderId="1" xfId="0" applyFont="1" applyFill="1" applyBorder="1"/>
    <xf numFmtId="44" fontId="6" fillId="3" borderId="1" xfId="0" applyNumberFormat="1" applyFont="1" applyFill="1" applyBorder="1"/>
    <xf numFmtId="0" fontId="5" fillId="8" borderId="1" xfId="0" applyFont="1" applyFill="1" applyBorder="1"/>
    <xf numFmtId="0" fontId="6" fillId="8" borderId="1" xfId="0" applyFont="1" applyFill="1" applyBorder="1"/>
    <xf numFmtId="0" fontId="8" fillId="8" borderId="1" xfId="0" applyFont="1" applyFill="1" applyBorder="1" applyAlignment="1">
      <alignment horizontal="left" wrapText="1"/>
    </xf>
    <xf numFmtId="0" fontId="6" fillId="9" borderId="1" xfId="0" applyFont="1" applyFill="1" applyBorder="1" applyAlignment="1">
      <alignment horizontal="center"/>
    </xf>
    <xf numFmtId="44" fontId="6" fillId="10" borderId="1" xfId="0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44" fontId="11" fillId="2" borderId="1" xfId="0" applyNumberFormat="1" applyFont="1" applyFill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4" fontId="5" fillId="0" borderId="1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79"/>
  <sheetViews>
    <sheetView tabSelected="1" zoomScaleNormal="100" workbookViewId="0">
      <pane ySplit="2085" topLeftCell="A42" activePane="bottomLeft"/>
      <selection activeCell="I1" sqref="I1:I1048576"/>
      <selection pane="bottomLeft" activeCell="I32" sqref="I32"/>
    </sheetView>
  </sheetViews>
  <sheetFormatPr defaultRowHeight="15"/>
  <cols>
    <col min="1" max="1" width="49.85546875" bestFit="1" customWidth="1"/>
    <col min="2" max="2" width="2.7109375" customWidth="1"/>
    <col min="3" max="3" width="31.7109375" customWidth="1"/>
    <col min="4" max="4" width="2.7109375" customWidth="1"/>
    <col min="5" max="5" width="30.28515625" customWidth="1"/>
    <col min="6" max="6" width="2.7109375" customWidth="1"/>
    <col min="7" max="7" width="30.28515625" style="11" customWidth="1"/>
    <col min="8" max="8" width="2.7109375" customWidth="1"/>
    <col min="9" max="9" width="27.85546875" bestFit="1" customWidth="1"/>
    <col min="10" max="10" width="2.7109375" customWidth="1"/>
    <col min="11" max="11" width="31.28515625" bestFit="1" customWidth="1"/>
    <col min="12" max="12" width="2.7109375" customWidth="1"/>
    <col min="13" max="13" width="42" bestFit="1" customWidth="1"/>
  </cols>
  <sheetData>
    <row r="1" spans="1:13" ht="18.75">
      <c r="A1" s="40" t="s">
        <v>155</v>
      </c>
      <c r="B1" s="40"/>
      <c r="C1" s="41"/>
      <c r="D1" s="2"/>
      <c r="E1" s="2"/>
      <c r="F1" s="2"/>
      <c r="G1" s="10"/>
      <c r="H1" s="2"/>
      <c r="I1" s="2"/>
      <c r="J1" s="2"/>
      <c r="K1" s="2"/>
      <c r="L1" s="2"/>
      <c r="M1" s="2"/>
    </row>
    <row r="2" spans="1:13" ht="18.75">
      <c r="A2" s="40" t="s">
        <v>156</v>
      </c>
      <c r="B2" s="40"/>
      <c r="C2" s="41"/>
      <c r="D2" s="2"/>
      <c r="E2" s="2"/>
      <c r="F2" s="2"/>
      <c r="G2" s="10"/>
      <c r="H2" s="2"/>
      <c r="I2" s="2"/>
      <c r="J2" s="2"/>
      <c r="K2" s="2"/>
      <c r="L2" s="2"/>
      <c r="M2" s="2"/>
    </row>
    <row r="3" spans="1:13" ht="20.25">
      <c r="A3" s="40" t="s">
        <v>154</v>
      </c>
      <c r="B3" s="40"/>
      <c r="C3" s="41"/>
      <c r="D3" s="2"/>
      <c r="E3" s="2"/>
      <c r="F3" s="2"/>
      <c r="G3" s="10"/>
      <c r="H3" s="2"/>
      <c r="I3" s="7" t="s">
        <v>172</v>
      </c>
      <c r="J3" s="2"/>
      <c r="K3" s="2"/>
      <c r="L3" s="2"/>
      <c r="M3" s="2"/>
    </row>
    <row r="4" spans="1:13" s="6" customFormat="1" ht="31.5" customHeight="1">
      <c r="A4" s="5"/>
      <c r="B4" s="5"/>
      <c r="C4" s="18" t="s">
        <v>158</v>
      </c>
      <c r="D4" s="5"/>
      <c r="E4" s="33" t="s">
        <v>157</v>
      </c>
      <c r="F4" s="5"/>
      <c r="G4" s="34" t="s">
        <v>159</v>
      </c>
      <c r="H4" s="5"/>
      <c r="I4" s="19" t="s">
        <v>160</v>
      </c>
      <c r="J4" s="5"/>
      <c r="K4" s="5" t="s">
        <v>161</v>
      </c>
      <c r="L4" s="5"/>
      <c r="M4" s="5" t="s">
        <v>162</v>
      </c>
    </row>
    <row r="5" spans="1:13" ht="18">
      <c r="A5" s="8" t="s">
        <v>0</v>
      </c>
      <c r="B5" s="3"/>
      <c r="C5" s="3"/>
      <c r="D5" s="3"/>
      <c r="E5" s="3"/>
      <c r="F5" s="3"/>
      <c r="G5" s="4"/>
      <c r="H5" s="3"/>
      <c r="I5" s="3"/>
      <c r="J5" s="3"/>
      <c r="K5" s="3"/>
      <c r="L5" s="3"/>
      <c r="M5" s="3"/>
    </row>
    <row r="6" spans="1:13" s="1" customFormat="1" ht="18">
      <c r="A6" s="8" t="s">
        <v>1</v>
      </c>
      <c r="B6" s="8"/>
      <c r="C6" s="8"/>
      <c r="D6" s="8"/>
      <c r="E6" s="8"/>
      <c r="F6" s="8"/>
      <c r="G6" s="9"/>
      <c r="H6" s="8"/>
      <c r="I6" s="8"/>
      <c r="J6" s="8"/>
      <c r="K6" s="8"/>
      <c r="L6" s="8"/>
      <c r="M6" s="8"/>
    </row>
    <row r="7" spans="1:13" ht="18">
      <c r="A7" s="3" t="s">
        <v>2</v>
      </c>
      <c r="B7" s="3"/>
      <c r="C7" s="4">
        <f>5000</f>
        <v>5000</v>
      </c>
      <c r="D7" s="4"/>
      <c r="E7" s="4">
        <f>35280</f>
        <v>35280</v>
      </c>
      <c r="F7" s="4"/>
      <c r="G7" s="4">
        <f>SUM(C7-E7)</f>
        <v>-30280</v>
      </c>
      <c r="H7" s="4"/>
      <c r="I7" s="4">
        <v>5000</v>
      </c>
      <c r="J7" s="4"/>
      <c r="K7" s="4">
        <f>SUM(I7-C7)</f>
        <v>0</v>
      </c>
      <c r="L7" s="4"/>
      <c r="M7" s="4"/>
    </row>
    <row r="8" spans="1:13" ht="18">
      <c r="A8" s="3" t="s">
        <v>3</v>
      </c>
      <c r="B8" s="3"/>
      <c r="C8" s="4">
        <f>535000</f>
        <v>535000</v>
      </c>
      <c r="D8" s="4"/>
      <c r="E8" s="4">
        <f>490000</f>
        <v>490000</v>
      </c>
      <c r="F8" s="4"/>
      <c r="G8" s="4">
        <f>SUM(C8-E8)</f>
        <v>45000</v>
      </c>
      <c r="H8" s="4"/>
      <c r="I8" s="4">
        <v>535000</v>
      </c>
      <c r="J8" s="4"/>
      <c r="K8" s="4">
        <f>SUM(I8-C8)</f>
        <v>0</v>
      </c>
      <c r="L8" s="4"/>
      <c r="M8" s="4"/>
    </row>
    <row r="9" spans="1:13" ht="18">
      <c r="A9" s="3" t="s">
        <v>4</v>
      </c>
      <c r="B9" s="3"/>
      <c r="C9" s="4">
        <f>3500</f>
        <v>3500</v>
      </c>
      <c r="D9" s="4"/>
      <c r="E9" s="4">
        <f>4000</f>
        <v>4000</v>
      </c>
      <c r="F9" s="4"/>
      <c r="G9" s="4">
        <f>SUM(C9-E9)</f>
        <v>-500</v>
      </c>
      <c r="H9" s="4"/>
      <c r="I9" s="4">
        <v>3500</v>
      </c>
      <c r="J9" s="4"/>
      <c r="K9" s="4">
        <f>SUM(I9-C9)</f>
        <v>0</v>
      </c>
      <c r="L9" s="4"/>
      <c r="M9" s="4"/>
    </row>
    <row r="10" spans="1:13" s="1" customFormat="1" ht="18">
      <c r="A10" s="8" t="s">
        <v>5</v>
      </c>
      <c r="B10" s="8"/>
      <c r="C10" s="9">
        <f>(((C6)+(C7))+(C8))+(C9)</f>
        <v>543500</v>
      </c>
      <c r="D10" s="9"/>
      <c r="E10" s="9">
        <f>(((E6)+(E7))+(E8))+(E9)</f>
        <v>529280</v>
      </c>
      <c r="F10" s="9"/>
      <c r="G10" s="9">
        <f>SUM(C10-E10)</f>
        <v>14220</v>
      </c>
      <c r="H10" s="9"/>
      <c r="I10" s="9">
        <f>(((I6)+(I7))+(I8))+(I9)</f>
        <v>543500</v>
      </c>
      <c r="J10" s="9"/>
      <c r="K10" s="4">
        <f>SUM(I10-C10)</f>
        <v>0</v>
      </c>
      <c r="L10" s="9"/>
      <c r="M10" s="9"/>
    </row>
    <row r="11" spans="1:13" ht="18">
      <c r="A11" s="16" t="s">
        <v>6</v>
      </c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ht="18">
      <c r="A12" s="30" t="s">
        <v>7</v>
      </c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ht="18">
      <c r="A13" s="30" t="s">
        <v>166</v>
      </c>
      <c r="B13" s="3"/>
      <c r="C13" s="4"/>
      <c r="D13" s="4"/>
      <c r="E13" s="20">
        <f>5000</f>
        <v>5000</v>
      </c>
      <c r="F13" s="4"/>
      <c r="G13" s="4">
        <f t="shared" ref="G13:G21" si="0">SUM(C13-E13)</f>
        <v>-5000</v>
      </c>
      <c r="H13" s="4"/>
      <c r="I13" s="4">
        <v>0</v>
      </c>
      <c r="J13" s="4"/>
      <c r="K13" s="4">
        <f t="shared" ref="K13:K21" si="1">SUM(I13-C13)</f>
        <v>0</v>
      </c>
      <c r="L13" s="4"/>
      <c r="M13" s="4"/>
    </row>
    <row r="14" spans="1:13" ht="18">
      <c r="A14" s="30" t="s">
        <v>8</v>
      </c>
      <c r="B14" s="3"/>
      <c r="C14" s="4">
        <f>5500</f>
        <v>5500</v>
      </c>
      <c r="D14" s="4"/>
      <c r="E14" s="20">
        <v>7012.48</v>
      </c>
      <c r="F14" s="4"/>
      <c r="G14" s="4">
        <f t="shared" si="0"/>
        <v>-1512.4799999999996</v>
      </c>
      <c r="H14" s="4"/>
      <c r="I14" s="4">
        <v>6750</v>
      </c>
      <c r="J14" s="4"/>
      <c r="K14" s="4">
        <f t="shared" si="1"/>
        <v>1250</v>
      </c>
      <c r="L14" s="4"/>
      <c r="M14" s="4"/>
    </row>
    <row r="15" spans="1:13" ht="18">
      <c r="A15" s="30" t="s">
        <v>9</v>
      </c>
      <c r="B15" s="3"/>
      <c r="C15" s="4">
        <f>11500</f>
        <v>11500</v>
      </c>
      <c r="D15" s="4"/>
      <c r="E15" s="20">
        <f>13284.25</f>
        <v>13284.25</v>
      </c>
      <c r="F15" s="4"/>
      <c r="G15" s="4">
        <f t="shared" si="0"/>
        <v>-1784.25</v>
      </c>
      <c r="H15" s="4"/>
      <c r="I15" s="4">
        <v>13250</v>
      </c>
      <c r="J15" s="4"/>
      <c r="K15" s="4">
        <f t="shared" si="1"/>
        <v>1750</v>
      </c>
      <c r="L15" s="4"/>
      <c r="M15" s="4"/>
    </row>
    <row r="16" spans="1:13" s="1" customFormat="1" ht="23.25" customHeight="1">
      <c r="A16" s="31" t="s">
        <v>10</v>
      </c>
      <c r="B16" s="8"/>
      <c r="C16" s="9">
        <f>((C12)+(C14))+(C15)</f>
        <v>17000</v>
      </c>
      <c r="D16" s="9"/>
      <c r="E16" s="21">
        <f>(((E12)+(E13))+(E14))+(E15)</f>
        <v>25296.73</v>
      </c>
      <c r="F16" s="9"/>
      <c r="G16" s="4">
        <f t="shared" si="0"/>
        <v>-8296.73</v>
      </c>
      <c r="H16" s="9"/>
      <c r="I16" s="9">
        <f>SUM(I13:I15)</f>
        <v>20000</v>
      </c>
      <c r="J16" s="9"/>
      <c r="K16" s="4">
        <f t="shared" si="1"/>
        <v>3000</v>
      </c>
      <c r="L16" s="9"/>
      <c r="M16" s="9"/>
    </row>
    <row r="17" spans="1:13" ht="18">
      <c r="A17" s="30" t="s">
        <v>11</v>
      </c>
      <c r="B17" s="3"/>
      <c r="C17" s="4">
        <f>9000</f>
        <v>9000</v>
      </c>
      <c r="D17" s="4"/>
      <c r="E17" s="20">
        <f>10450</f>
        <v>10450</v>
      </c>
      <c r="F17" s="4"/>
      <c r="G17" s="4">
        <f t="shared" si="0"/>
        <v>-1450</v>
      </c>
      <c r="H17" s="4"/>
      <c r="I17" s="4">
        <v>10000</v>
      </c>
      <c r="J17" s="4"/>
      <c r="K17" s="4">
        <f t="shared" si="1"/>
        <v>1000</v>
      </c>
      <c r="L17" s="4"/>
      <c r="M17" s="4"/>
    </row>
    <row r="18" spans="1:13" ht="18">
      <c r="A18" s="30" t="s">
        <v>12</v>
      </c>
      <c r="B18" s="3"/>
      <c r="C18" s="4">
        <f>4000</f>
        <v>4000</v>
      </c>
      <c r="D18" s="4"/>
      <c r="E18" s="20">
        <f>4168.03</f>
        <v>4168.03</v>
      </c>
      <c r="F18" s="4"/>
      <c r="G18" s="4">
        <f t="shared" si="0"/>
        <v>-168.02999999999975</v>
      </c>
      <c r="H18" s="4"/>
      <c r="I18" s="4">
        <v>4200</v>
      </c>
      <c r="J18" s="4"/>
      <c r="K18" s="4">
        <f t="shared" si="1"/>
        <v>200</v>
      </c>
      <c r="L18" s="4"/>
      <c r="M18" s="4"/>
    </row>
    <row r="19" spans="1:13" ht="18">
      <c r="A19" s="32" t="s">
        <v>179</v>
      </c>
      <c r="B19" s="3"/>
      <c r="C19" s="4">
        <v>0</v>
      </c>
      <c r="D19" s="4"/>
      <c r="E19" s="23">
        <v>4000</v>
      </c>
      <c r="F19" s="4"/>
      <c r="G19" s="4">
        <f t="shared" si="0"/>
        <v>-4000</v>
      </c>
      <c r="H19" s="4"/>
      <c r="I19" s="4">
        <v>4000</v>
      </c>
      <c r="J19" s="4"/>
      <c r="K19" s="4">
        <f t="shared" si="1"/>
        <v>4000</v>
      </c>
      <c r="L19" s="4"/>
      <c r="M19" s="4" t="s">
        <v>180</v>
      </c>
    </row>
    <row r="20" spans="1:13" ht="18">
      <c r="A20" s="30" t="s">
        <v>13</v>
      </c>
      <c r="B20" s="3"/>
      <c r="C20" s="4">
        <f>12000</f>
        <v>12000</v>
      </c>
      <c r="D20" s="4"/>
      <c r="E20" s="23">
        <f>18669.05</f>
        <v>18669.05</v>
      </c>
      <c r="F20" s="4"/>
      <c r="G20" s="4">
        <f t="shared" si="0"/>
        <v>-6669.0499999999993</v>
      </c>
      <c r="H20" s="4"/>
      <c r="I20" s="4">
        <v>20000</v>
      </c>
      <c r="J20" s="4"/>
      <c r="K20" s="4">
        <f t="shared" si="1"/>
        <v>8000</v>
      </c>
      <c r="L20" s="4"/>
      <c r="M20" s="4"/>
    </row>
    <row r="21" spans="1:13" ht="18">
      <c r="A21" s="30" t="s">
        <v>14</v>
      </c>
      <c r="B21" s="3"/>
      <c r="C21" s="4">
        <f>12500</f>
        <v>12500</v>
      </c>
      <c r="D21" s="4"/>
      <c r="E21" s="20">
        <v>11500</v>
      </c>
      <c r="F21" s="4"/>
      <c r="G21" s="4">
        <f t="shared" si="0"/>
        <v>1000</v>
      </c>
      <c r="H21" s="4"/>
      <c r="I21" s="4">
        <v>12500</v>
      </c>
      <c r="J21" s="4"/>
      <c r="K21" s="4">
        <f t="shared" si="1"/>
        <v>0</v>
      </c>
      <c r="L21" s="4"/>
      <c r="M21" s="4"/>
    </row>
    <row r="22" spans="1:13" ht="18">
      <c r="A22" s="30" t="s">
        <v>163</v>
      </c>
      <c r="B22" s="3"/>
      <c r="C22" s="4"/>
      <c r="D22" s="4"/>
      <c r="E22" s="22"/>
      <c r="F22" s="4"/>
      <c r="G22" s="4"/>
      <c r="H22" s="4"/>
      <c r="I22" s="4"/>
      <c r="J22" s="4"/>
      <c r="K22" s="4"/>
      <c r="L22" s="4"/>
      <c r="M22" s="4"/>
    </row>
    <row r="23" spans="1:13" ht="18">
      <c r="A23" s="30" t="s">
        <v>164</v>
      </c>
      <c r="B23" s="3"/>
      <c r="C23" s="4"/>
      <c r="D23" s="4"/>
      <c r="E23" s="20">
        <f>50</f>
        <v>50</v>
      </c>
      <c r="F23" s="4"/>
      <c r="G23" s="4">
        <f>SUM(C23-E23)</f>
        <v>-50</v>
      </c>
      <c r="H23" s="4"/>
      <c r="I23" s="4">
        <v>0</v>
      </c>
      <c r="J23" s="4"/>
      <c r="K23" s="4">
        <f>SUM(I23-C23)</f>
        <v>0</v>
      </c>
      <c r="L23" s="4"/>
      <c r="M23" s="4"/>
    </row>
    <row r="24" spans="1:13" s="1" customFormat="1" ht="18">
      <c r="A24" s="31" t="s">
        <v>165</v>
      </c>
      <c r="B24" s="8"/>
      <c r="C24" s="9"/>
      <c r="D24" s="9"/>
      <c r="E24" s="21">
        <f>(E23)</f>
        <v>50</v>
      </c>
      <c r="F24" s="9"/>
      <c r="G24" s="4">
        <f>SUM(C24-E24)</f>
        <v>-50</v>
      </c>
      <c r="H24" s="9"/>
      <c r="I24" s="9">
        <v>0</v>
      </c>
      <c r="J24" s="9"/>
      <c r="K24" s="4">
        <f>SUM(I24-C24)</f>
        <v>0</v>
      </c>
      <c r="L24" s="9"/>
      <c r="M24" s="9"/>
    </row>
    <row r="25" spans="1:13" s="1" customFormat="1" ht="35.25" customHeight="1">
      <c r="A25" s="28" t="s">
        <v>15</v>
      </c>
      <c r="B25" s="28"/>
      <c r="C25" s="29">
        <f>(((((C11)+(C16))+(C17))+(C18))+(C20))+(C21)+C24</f>
        <v>54500</v>
      </c>
      <c r="D25" s="29"/>
      <c r="E25" s="29">
        <f>SUM(E16+E17+E18+E19+E20+E21+E24)</f>
        <v>74133.81</v>
      </c>
      <c r="F25" s="29"/>
      <c r="G25" s="17">
        <f>SUM(C25-E25)</f>
        <v>-19633.809999999998</v>
      </c>
      <c r="H25" s="29"/>
      <c r="I25" s="29">
        <f>SUM(I16+I17+I18+I20+I21+I24)</f>
        <v>66700</v>
      </c>
      <c r="J25" s="29"/>
      <c r="K25" s="17">
        <f>SUM(I25-C25)</f>
        <v>12200</v>
      </c>
      <c r="L25" s="29"/>
      <c r="M25" s="29"/>
    </row>
    <row r="26" spans="1:13" ht="18">
      <c r="A26" s="3" t="s">
        <v>16</v>
      </c>
      <c r="B26" s="3"/>
      <c r="C26" s="4">
        <f>4500</f>
        <v>4500</v>
      </c>
      <c r="D26" s="4"/>
      <c r="E26" s="4">
        <f>2598.65</f>
        <v>2598.65</v>
      </c>
      <c r="F26" s="4"/>
      <c r="G26" s="4">
        <f>SUM(C26-E26)</f>
        <v>1901.35</v>
      </c>
      <c r="H26" s="4"/>
      <c r="I26" s="4">
        <v>3000</v>
      </c>
      <c r="J26" s="4"/>
      <c r="K26" s="4">
        <f>SUM(I26-C26)</f>
        <v>-1500</v>
      </c>
      <c r="L26" s="4"/>
      <c r="M26" s="4"/>
    </row>
    <row r="27" spans="1:13" ht="35.25" customHeight="1">
      <c r="A27" s="8" t="s">
        <v>17</v>
      </c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3" ht="18">
      <c r="A28" s="3" t="s">
        <v>18</v>
      </c>
      <c r="B28" s="3"/>
      <c r="C28" s="4">
        <f>75</f>
        <v>75</v>
      </c>
      <c r="D28" s="4"/>
      <c r="E28" s="4">
        <f>63.9</f>
        <v>63.9</v>
      </c>
      <c r="F28" s="4"/>
      <c r="G28" s="4">
        <f>SUM(C28-E28)</f>
        <v>11.100000000000001</v>
      </c>
      <c r="H28" s="4"/>
      <c r="I28" s="4">
        <v>75</v>
      </c>
      <c r="J28" s="4"/>
      <c r="K28" s="4">
        <f>SUM(I28-C28)</f>
        <v>0</v>
      </c>
      <c r="L28" s="4"/>
      <c r="M28" s="4"/>
    </row>
    <row r="29" spans="1:13" ht="18">
      <c r="A29" s="3" t="s">
        <v>19</v>
      </c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spans="1:13" ht="18">
      <c r="A30" s="3" t="s">
        <v>173</v>
      </c>
      <c r="B30" s="3"/>
      <c r="C30" s="4"/>
      <c r="D30" s="4"/>
      <c r="E30" s="4">
        <v>13.5</v>
      </c>
      <c r="F30" s="4"/>
      <c r="G30" s="4">
        <f t="shared" ref="G30:G36" si="2">SUM(C30-E30)</f>
        <v>-13.5</v>
      </c>
      <c r="H30" s="4"/>
      <c r="I30" s="4">
        <v>0</v>
      </c>
      <c r="J30" s="4"/>
      <c r="K30" s="4">
        <f>SUM(I30-C30)</f>
        <v>0</v>
      </c>
      <c r="L30" s="4"/>
      <c r="M30" s="4"/>
    </row>
    <row r="31" spans="1:13" ht="18">
      <c r="A31" s="3" t="s">
        <v>20</v>
      </c>
      <c r="B31" s="3"/>
      <c r="C31" s="4">
        <f>31000</f>
        <v>31000</v>
      </c>
      <c r="D31" s="4"/>
      <c r="E31" s="4">
        <f>7550</f>
        <v>7550</v>
      </c>
      <c r="F31" s="4"/>
      <c r="G31" s="4">
        <f t="shared" si="2"/>
        <v>23450</v>
      </c>
      <c r="H31" s="4"/>
      <c r="I31" s="4">
        <v>15000</v>
      </c>
      <c r="J31" s="4"/>
      <c r="K31" s="4">
        <f t="shared" ref="K31:K93" si="3">SUM(I31-C31)</f>
        <v>-16000</v>
      </c>
      <c r="L31" s="4"/>
      <c r="M31" s="4"/>
    </row>
    <row r="32" spans="1:13" ht="36">
      <c r="A32" s="3" t="s">
        <v>21</v>
      </c>
      <c r="B32" s="3"/>
      <c r="C32" s="4">
        <f>35000</f>
        <v>35000</v>
      </c>
      <c r="D32" s="4"/>
      <c r="E32" s="4">
        <f>41221</f>
        <v>41221</v>
      </c>
      <c r="F32" s="4"/>
      <c r="G32" s="4">
        <f t="shared" si="2"/>
        <v>-6221</v>
      </c>
      <c r="H32" s="4"/>
      <c r="I32" s="4">
        <v>55000</v>
      </c>
      <c r="J32" s="4"/>
      <c r="K32" s="4">
        <f t="shared" si="3"/>
        <v>20000</v>
      </c>
      <c r="L32" s="4"/>
      <c r="M32" s="42" t="s">
        <v>217</v>
      </c>
    </row>
    <row r="33" spans="1:13" ht="18">
      <c r="A33" s="3" t="s">
        <v>22</v>
      </c>
      <c r="B33" s="3"/>
      <c r="C33" s="4">
        <f>2000</f>
        <v>2000</v>
      </c>
      <c r="D33" s="4"/>
      <c r="E33" s="4">
        <f>695</f>
        <v>695</v>
      </c>
      <c r="F33" s="4"/>
      <c r="G33" s="4">
        <f t="shared" si="2"/>
        <v>1305</v>
      </c>
      <c r="H33" s="4"/>
      <c r="I33" s="4">
        <v>1000</v>
      </c>
      <c r="J33" s="4"/>
      <c r="K33" s="4">
        <f t="shared" si="3"/>
        <v>-1000</v>
      </c>
      <c r="L33" s="4"/>
      <c r="M33" s="4"/>
    </row>
    <row r="34" spans="1:13" ht="18">
      <c r="A34" s="3" t="s">
        <v>23</v>
      </c>
      <c r="B34" s="3"/>
      <c r="C34" s="4">
        <f>40000</f>
        <v>40000</v>
      </c>
      <c r="D34" s="4"/>
      <c r="E34" s="4">
        <v>64711</v>
      </c>
      <c r="F34" s="4"/>
      <c r="G34" s="4">
        <f t="shared" si="2"/>
        <v>-24711</v>
      </c>
      <c r="H34" s="4"/>
      <c r="I34" s="4">
        <v>65250</v>
      </c>
      <c r="J34" s="4"/>
      <c r="K34" s="4">
        <f t="shared" si="3"/>
        <v>25250</v>
      </c>
      <c r="L34" s="4"/>
      <c r="M34" s="4"/>
    </row>
    <row r="35" spans="1:13" ht="18">
      <c r="A35" s="3" t="s">
        <v>24</v>
      </c>
      <c r="B35" s="3"/>
      <c r="C35" s="4">
        <f>2000</f>
        <v>2000</v>
      </c>
      <c r="D35" s="4"/>
      <c r="E35" s="4">
        <f>2100</f>
        <v>2100</v>
      </c>
      <c r="F35" s="4"/>
      <c r="G35" s="4">
        <f t="shared" si="2"/>
        <v>-100</v>
      </c>
      <c r="H35" s="4"/>
      <c r="I35" s="4">
        <v>1500</v>
      </c>
      <c r="J35" s="4"/>
      <c r="K35" s="4">
        <f t="shared" si="3"/>
        <v>-500</v>
      </c>
      <c r="L35" s="4"/>
      <c r="M35" s="4"/>
    </row>
    <row r="36" spans="1:13" s="1" customFormat="1" ht="18">
      <c r="A36" s="8" t="s">
        <v>25</v>
      </c>
      <c r="B36" s="8"/>
      <c r="C36" s="9">
        <f>(((((C29)+(C31))+(C32))+(C33))+(C34))+(C35)</f>
        <v>110000</v>
      </c>
      <c r="D36" s="9"/>
      <c r="E36" s="9">
        <f>(((((+(E29))+(E31))+(E32))+(E33))+(E34))+(E35)+E30</f>
        <v>116290.5</v>
      </c>
      <c r="F36" s="9"/>
      <c r="G36" s="9">
        <f t="shared" si="2"/>
        <v>-6290.5</v>
      </c>
      <c r="H36" s="9"/>
      <c r="I36" s="9">
        <f>SUM(I30:I35)</f>
        <v>137750</v>
      </c>
      <c r="J36" s="9"/>
      <c r="K36" s="4">
        <f t="shared" si="3"/>
        <v>27750</v>
      </c>
      <c r="L36" s="9"/>
      <c r="M36" s="9"/>
    </row>
    <row r="37" spans="1:13" ht="18">
      <c r="A37" s="3" t="s">
        <v>167</v>
      </c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pans="1:13" ht="18">
      <c r="A38" s="3" t="s">
        <v>168</v>
      </c>
      <c r="B38" s="3"/>
      <c r="C38" s="4"/>
      <c r="D38" s="4"/>
      <c r="E38" s="4">
        <f>680.7</f>
        <v>680.7</v>
      </c>
      <c r="F38" s="4"/>
      <c r="G38" s="4">
        <f>SUM(C38-E38)</f>
        <v>-680.7</v>
      </c>
      <c r="H38" s="4"/>
      <c r="I38" s="4">
        <v>0</v>
      </c>
      <c r="J38" s="4"/>
      <c r="K38" s="4">
        <f t="shared" si="3"/>
        <v>0</v>
      </c>
      <c r="L38" s="4"/>
      <c r="M38" s="4"/>
    </row>
    <row r="39" spans="1:13" ht="18">
      <c r="A39" s="3" t="s">
        <v>169</v>
      </c>
      <c r="B39" s="3"/>
      <c r="C39" s="4"/>
      <c r="D39" s="4"/>
      <c r="E39" s="4">
        <f>0</f>
        <v>0</v>
      </c>
      <c r="F39" s="4"/>
      <c r="G39" s="4"/>
      <c r="H39" s="4"/>
      <c r="I39" s="4"/>
      <c r="J39" s="4"/>
      <c r="K39" s="4">
        <f t="shared" si="3"/>
        <v>0</v>
      </c>
      <c r="L39" s="4"/>
      <c r="M39" s="4"/>
    </row>
    <row r="40" spans="1:13" ht="18">
      <c r="A40" s="3" t="s">
        <v>170</v>
      </c>
      <c r="B40" s="3"/>
      <c r="C40" s="4"/>
      <c r="D40" s="4"/>
      <c r="E40" s="4">
        <f>415.01</f>
        <v>415.01</v>
      </c>
      <c r="F40" s="4"/>
      <c r="G40" s="4">
        <f>SUM(C40-E40)</f>
        <v>-415.01</v>
      </c>
      <c r="H40" s="4"/>
      <c r="I40" s="4">
        <v>0</v>
      </c>
      <c r="J40" s="4"/>
      <c r="K40" s="4">
        <f t="shared" si="3"/>
        <v>0</v>
      </c>
      <c r="L40" s="4"/>
      <c r="M40" s="4"/>
    </row>
    <row r="41" spans="1:13" ht="18">
      <c r="A41" s="3" t="s">
        <v>171</v>
      </c>
      <c r="B41" s="3"/>
      <c r="C41" s="4"/>
      <c r="D41" s="4"/>
      <c r="E41" s="4">
        <f>(((E37)+(E38))+(E39))+(E40)</f>
        <v>1095.71</v>
      </c>
      <c r="F41" s="4"/>
      <c r="G41" s="4">
        <f>SUM(C41-E41)</f>
        <v>-1095.71</v>
      </c>
      <c r="H41" s="4"/>
      <c r="I41" s="4">
        <v>0</v>
      </c>
      <c r="J41" s="4"/>
      <c r="K41" s="4">
        <f t="shared" si="3"/>
        <v>0</v>
      </c>
      <c r="L41" s="4"/>
      <c r="M41" s="4"/>
    </row>
    <row r="42" spans="1:13" ht="18">
      <c r="A42" s="3" t="s">
        <v>26</v>
      </c>
      <c r="B42" s="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</row>
    <row r="43" spans="1:13" ht="18">
      <c r="A43" s="3" t="s">
        <v>27</v>
      </c>
      <c r="B43" s="3"/>
      <c r="C43" s="4">
        <f>1000</f>
        <v>1000</v>
      </c>
      <c r="D43" s="4"/>
      <c r="E43" s="4">
        <v>400</v>
      </c>
      <c r="F43" s="4"/>
      <c r="G43" s="4">
        <f t="shared" ref="G43:G74" si="4">SUM(C43-E43)</f>
        <v>600</v>
      </c>
      <c r="H43" s="4"/>
      <c r="I43" s="4">
        <v>1000</v>
      </c>
      <c r="J43" s="4"/>
      <c r="K43" s="4">
        <f t="shared" si="3"/>
        <v>0</v>
      </c>
      <c r="L43" s="4"/>
      <c r="M43" s="4"/>
    </row>
    <row r="44" spans="1:13" s="1" customFormat="1" ht="18">
      <c r="A44" s="8" t="s">
        <v>28</v>
      </c>
      <c r="B44" s="8"/>
      <c r="C44" s="9">
        <f>(C42)+(C43)</f>
        <v>1000</v>
      </c>
      <c r="D44" s="9"/>
      <c r="E44" s="9">
        <f>(E42)+(E43)</f>
        <v>400</v>
      </c>
      <c r="F44" s="9"/>
      <c r="G44" s="4">
        <f t="shared" si="4"/>
        <v>600</v>
      </c>
      <c r="H44" s="9"/>
      <c r="I44" s="9">
        <v>1000</v>
      </c>
      <c r="J44" s="9"/>
      <c r="K44" s="4">
        <f t="shared" si="3"/>
        <v>0</v>
      </c>
      <c r="L44" s="9"/>
      <c r="M44" s="9"/>
    </row>
    <row r="45" spans="1:13" ht="18">
      <c r="A45" s="3" t="s">
        <v>29</v>
      </c>
      <c r="B45" s="3"/>
      <c r="C45" s="4"/>
      <c r="D45" s="4"/>
      <c r="E45" s="4">
        <v>-16.89</v>
      </c>
      <c r="F45" s="4"/>
      <c r="G45" s="4">
        <f t="shared" si="4"/>
        <v>16.89</v>
      </c>
      <c r="H45" s="4"/>
      <c r="I45" s="4">
        <v>0</v>
      </c>
      <c r="J45" s="4"/>
      <c r="K45" s="4">
        <f t="shared" si="3"/>
        <v>0</v>
      </c>
      <c r="L45" s="4"/>
      <c r="M45" s="4"/>
    </row>
    <row r="46" spans="1:13" ht="18">
      <c r="A46" s="3" t="s">
        <v>30</v>
      </c>
      <c r="B46" s="3"/>
      <c r="C46" s="4">
        <f>100</f>
        <v>100</v>
      </c>
      <c r="D46" s="4"/>
      <c r="E46" s="4">
        <v>346.9</v>
      </c>
      <c r="F46" s="4"/>
      <c r="G46" s="4">
        <f t="shared" si="4"/>
        <v>-246.89999999999998</v>
      </c>
      <c r="H46" s="4"/>
      <c r="I46" s="4">
        <v>350</v>
      </c>
      <c r="J46" s="4"/>
      <c r="K46" s="4">
        <f t="shared" si="3"/>
        <v>250</v>
      </c>
      <c r="L46" s="4"/>
      <c r="M46" s="4"/>
    </row>
    <row r="47" spans="1:13" ht="18">
      <c r="A47" s="3" t="s">
        <v>31</v>
      </c>
      <c r="B47" s="3"/>
      <c r="C47" s="4">
        <f>15000</f>
        <v>15000</v>
      </c>
      <c r="D47" s="4"/>
      <c r="E47" s="4">
        <v>8751.17</v>
      </c>
      <c r="F47" s="4"/>
      <c r="G47" s="4">
        <f t="shared" si="4"/>
        <v>6248.83</v>
      </c>
      <c r="H47" s="4"/>
      <c r="I47" s="4">
        <v>9000</v>
      </c>
      <c r="J47" s="4"/>
      <c r="K47" s="4">
        <f t="shared" si="3"/>
        <v>-6000</v>
      </c>
      <c r="L47" s="4"/>
      <c r="M47" s="4"/>
    </row>
    <row r="48" spans="1:13" ht="18">
      <c r="A48" s="3" t="s">
        <v>32</v>
      </c>
      <c r="B48" s="3"/>
      <c r="C48" s="4">
        <f>1000</f>
        <v>1000</v>
      </c>
      <c r="D48" s="4"/>
      <c r="E48" s="4">
        <v>2598.77</v>
      </c>
      <c r="F48" s="4"/>
      <c r="G48" s="4">
        <f t="shared" si="4"/>
        <v>-1598.77</v>
      </c>
      <c r="H48" s="4"/>
      <c r="I48" s="4">
        <v>2750</v>
      </c>
      <c r="J48" s="4"/>
      <c r="K48" s="4">
        <f t="shared" si="3"/>
        <v>1750</v>
      </c>
      <c r="L48" s="4"/>
      <c r="M48" s="4"/>
    </row>
    <row r="49" spans="1:13" ht="18">
      <c r="A49" s="3" t="s">
        <v>33</v>
      </c>
      <c r="B49" s="3"/>
      <c r="C49" s="4">
        <f>5000</f>
        <v>5000</v>
      </c>
      <c r="D49" s="4"/>
      <c r="E49" s="4">
        <v>11588.56</v>
      </c>
      <c r="F49" s="4"/>
      <c r="G49" s="4">
        <f t="shared" si="4"/>
        <v>-6588.5599999999995</v>
      </c>
      <c r="H49" s="4"/>
      <c r="I49" s="4">
        <v>7500</v>
      </c>
      <c r="J49" s="4"/>
      <c r="K49" s="4">
        <f t="shared" si="3"/>
        <v>2500</v>
      </c>
      <c r="L49" s="4"/>
      <c r="M49" s="4"/>
    </row>
    <row r="50" spans="1:13" ht="18">
      <c r="A50" s="3" t="s">
        <v>34</v>
      </c>
      <c r="B50" s="3"/>
      <c r="C50" s="4">
        <f>128</f>
        <v>128</v>
      </c>
      <c r="D50" s="4"/>
      <c r="E50" s="4">
        <v>199.25</v>
      </c>
      <c r="F50" s="4"/>
      <c r="G50" s="4">
        <f t="shared" si="4"/>
        <v>-71.25</v>
      </c>
      <c r="H50" s="4"/>
      <c r="I50" s="4">
        <v>200</v>
      </c>
      <c r="J50" s="4"/>
      <c r="K50" s="4">
        <f t="shared" si="3"/>
        <v>72</v>
      </c>
      <c r="L50" s="4"/>
      <c r="M50" s="4"/>
    </row>
    <row r="51" spans="1:13" ht="18">
      <c r="A51" s="3" t="s">
        <v>35</v>
      </c>
      <c r="B51" s="3"/>
      <c r="C51" s="4">
        <f>1200</f>
        <v>1200</v>
      </c>
      <c r="D51" s="4"/>
      <c r="E51" s="4">
        <v>1665</v>
      </c>
      <c r="F51" s="4"/>
      <c r="G51" s="4">
        <f t="shared" si="4"/>
        <v>-465</v>
      </c>
      <c r="H51" s="4"/>
      <c r="I51" s="4">
        <v>1750</v>
      </c>
      <c r="J51" s="4"/>
      <c r="K51" s="4">
        <f t="shared" si="3"/>
        <v>550</v>
      </c>
      <c r="L51" s="4"/>
      <c r="M51" s="4"/>
    </row>
    <row r="52" spans="1:13" ht="18">
      <c r="A52" s="3" t="s">
        <v>36</v>
      </c>
      <c r="B52" s="3"/>
      <c r="C52" s="4">
        <f>1</f>
        <v>1</v>
      </c>
      <c r="D52" s="4"/>
      <c r="E52" s="4">
        <v>1</v>
      </c>
      <c r="F52" s="4"/>
      <c r="G52" s="4">
        <f t="shared" si="4"/>
        <v>0</v>
      </c>
      <c r="H52" s="4"/>
      <c r="I52" s="4">
        <v>1</v>
      </c>
      <c r="J52" s="4"/>
      <c r="K52" s="4">
        <f t="shared" si="3"/>
        <v>0</v>
      </c>
      <c r="L52" s="4"/>
      <c r="M52" s="4"/>
    </row>
    <row r="53" spans="1:13" ht="18">
      <c r="A53" s="3" t="s">
        <v>37</v>
      </c>
      <c r="B53" s="3"/>
      <c r="C53" s="4">
        <f>10000</f>
        <v>10000</v>
      </c>
      <c r="D53" s="4"/>
      <c r="E53" s="4">
        <v>1212.3</v>
      </c>
      <c r="F53" s="4"/>
      <c r="G53" s="4">
        <f t="shared" si="4"/>
        <v>8787.7000000000007</v>
      </c>
      <c r="H53" s="4"/>
      <c r="I53" s="4">
        <v>1500</v>
      </c>
      <c r="J53" s="4"/>
      <c r="K53" s="4">
        <f t="shared" si="3"/>
        <v>-8500</v>
      </c>
      <c r="L53" s="4"/>
      <c r="M53" s="4"/>
    </row>
    <row r="54" spans="1:13" ht="18">
      <c r="A54" s="3" t="s">
        <v>38</v>
      </c>
      <c r="B54" s="3"/>
      <c r="C54" s="4">
        <f>1000</f>
        <v>1000</v>
      </c>
      <c r="D54" s="4"/>
      <c r="E54" s="4">
        <v>1953.7</v>
      </c>
      <c r="F54" s="4"/>
      <c r="G54" s="4">
        <f t="shared" si="4"/>
        <v>-953.7</v>
      </c>
      <c r="H54" s="4"/>
      <c r="I54" s="4">
        <v>2000</v>
      </c>
      <c r="J54" s="4"/>
      <c r="K54" s="4">
        <f t="shared" si="3"/>
        <v>1000</v>
      </c>
      <c r="L54" s="4"/>
      <c r="M54" s="4"/>
    </row>
    <row r="55" spans="1:13" ht="18">
      <c r="A55" s="3" t="s">
        <v>39</v>
      </c>
      <c r="B55" s="3"/>
      <c r="C55" s="4">
        <f>575.91</f>
        <v>575.91</v>
      </c>
      <c r="D55" s="4"/>
      <c r="E55" s="4">
        <v>0</v>
      </c>
      <c r="F55" s="4"/>
      <c r="G55" s="4">
        <f t="shared" si="4"/>
        <v>575.91</v>
      </c>
      <c r="H55" s="4"/>
      <c r="I55" s="4"/>
      <c r="J55" s="4"/>
      <c r="K55" s="4">
        <f t="shared" si="3"/>
        <v>-575.91</v>
      </c>
      <c r="L55" s="4"/>
      <c r="M55" s="4"/>
    </row>
    <row r="56" spans="1:13" s="1" customFormat="1" ht="18">
      <c r="A56" s="8" t="s">
        <v>40</v>
      </c>
      <c r="B56" s="8"/>
      <c r="C56" s="9">
        <f>(C54)+(C55)</f>
        <v>1575.9099999999999</v>
      </c>
      <c r="D56" s="9"/>
      <c r="E56" s="9">
        <f>(E54)+(E55)</f>
        <v>1953.7</v>
      </c>
      <c r="F56" s="9"/>
      <c r="G56" s="9">
        <f t="shared" si="4"/>
        <v>-377.79000000000019</v>
      </c>
      <c r="H56" s="9"/>
      <c r="I56" s="9">
        <v>2000</v>
      </c>
      <c r="J56" s="9"/>
      <c r="K56" s="9">
        <f t="shared" si="3"/>
        <v>424.09000000000015</v>
      </c>
      <c r="L56" s="9"/>
      <c r="M56" s="9"/>
    </row>
    <row r="57" spans="1:13" ht="18">
      <c r="A57" s="3" t="s">
        <v>41</v>
      </c>
      <c r="B57" s="3"/>
      <c r="C57" s="4">
        <f>25</f>
        <v>25</v>
      </c>
      <c r="D57" s="4"/>
      <c r="E57" s="4">
        <v>330.75</v>
      </c>
      <c r="F57" s="4"/>
      <c r="G57" s="4">
        <f t="shared" si="4"/>
        <v>-305.75</v>
      </c>
      <c r="H57" s="4"/>
      <c r="I57" s="4">
        <v>350</v>
      </c>
      <c r="J57" s="4"/>
      <c r="K57" s="4">
        <f t="shared" si="3"/>
        <v>325</v>
      </c>
      <c r="L57" s="4"/>
      <c r="M57" s="4"/>
    </row>
    <row r="58" spans="1:13" ht="18">
      <c r="A58" s="3" t="s">
        <v>42</v>
      </c>
      <c r="B58" s="3"/>
      <c r="C58" s="4">
        <f>1000</f>
        <v>1000</v>
      </c>
      <c r="D58" s="4"/>
      <c r="E58" s="4">
        <v>3947.75</v>
      </c>
      <c r="F58" s="4"/>
      <c r="G58" s="4">
        <f t="shared" si="4"/>
        <v>-2947.75</v>
      </c>
      <c r="H58" s="4"/>
      <c r="I58" s="4">
        <v>4000</v>
      </c>
      <c r="J58" s="4"/>
      <c r="K58" s="4">
        <f t="shared" si="3"/>
        <v>3000</v>
      </c>
      <c r="L58" s="4"/>
      <c r="M58" s="4"/>
    </row>
    <row r="59" spans="1:13" ht="18">
      <c r="A59" s="3" t="s">
        <v>174</v>
      </c>
      <c r="B59" s="3"/>
      <c r="C59" s="4"/>
      <c r="D59" s="4"/>
      <c r="E59" s="4">
        <v>232</v>
      </c>
      <c r="F59" s="4"/>
      <c r="G59" s="4">
        <f t="shared" si="4"/>
        <v>-232</v>
      </c>
      <c r="H59" s="4"/>
      <c r="I59" s="4">
        <v>250</v>
      </c>
      <c r="J59" s="4"/>
      <c r="K59" s="4">
        <f t="shared" si="3"/>
        <v>250</v>
      </c>
      <c r="L59" s="4"/>
      <c r="M59" s="4"/>
    </row>
    <row r="60" spans="1:13" ht="18">
      <c r="A60" s="3" t="s">
        <v>43</v>
      </c>
      <c r="B60" s="3"/>
      <c r="C60" s="4">
        <f>500</f>
        <v>500</v>
      </c>
      <c r="D60" s="4"/>
      <c r="E60" s="4">
        <v>744.34</v>
      </c>
      <c r="F60" s="4"/>
      <c r="G60" s="4">
        <f t="shared" si="4"/>
        <v>-244.34000000000003</v>
      </c>
      <c r="H60" s="4"/>
      <c r="I60" s="4">
        <v>750</v>
      </c>
      <c r="J60" s="4"/>
      <c r="K60" s="4">
        <f t="shared" si="3"/>
        <v>250</v>
      </c>
      <c r="L60" s="4"/>
      <c r="M60" s="4"/>
    </row>
    <row r="61" spans="1:13" ht="18">
      <c r="A61" s="3" t="s">
        <v>44</v>
      </c>
      <c r="B61" s="3"/>
      <c r="C61" s="4">
        <f>175</f>
        <v>175</v>
      </c>
      <c r="D61" s="4"/>
      <c r="E61" s="4">
        <v>2026.95</v>
      </c>
      <c r="F61" s="4"/>
      <c r="G61" s="4">
        <f t="shared" si="4"/>
        <v>-1851.95</v>
      </c>
      <c r="H61" s="4"/>
      <c r="I61" s="4">
        <v>2250</v>
      </c>
      <c r="J61" s="4"/>
      <c r="K61" s="4">
        <f t="shared" si="3"/>
        <v>2075</v>
      </c>
      <c r="L61" s="4"/>
      <c r="M61" s="4"/>
    </row>
    <row r="62" spans="1:13" ht="18">
      <c r="A62" s="3" t="s">
        <v>45</v>
      </c>
      <c r="B62" s="3"/>
      <c r="C62" s="4">
        <f>25</f>
        <v>25</v>
      </c>
      <c r="D62" s="4"/>
      <c r="E62" s="4">
        <v>40.5</v>
      </c>
      <c r="F62" s="4"/>
      <c r="G62" s="4">
        <f t="shared" si="4"/>
        <v>-15.5</v>
      </c>
      <c r="H62" s="4"/>
      <c r="I62" s="4">
        <v>50</v>
      </c>
      <c r="J62" s="4"/>
      <c r="K62" s="4">
        <f t="shared" si="3"/>
        <v>25</v>
      </c>
      <c r="L62" s="4"/>
      <c r="M62" s="4"/>
    </row>
    <row r="63" spans="1:13" ht="18">
      <c r="A63" s="3" t="s">
        <v>46</v>
      </c>
      <c r="B63" s="3"/>
      <c r="C63" s="4">
        <f>750</f>
        <v>750</v>
      </c>
      <c r="D63" s="4"/>
      <c r="E63" s="4">
        <v>2168.3000000000002</v>
      </c>
      <c r="F63" s="4"/>
      <c r="G63" s="4">
        <f t="shared" si="4"/>
        <v>-1418.3000000000002</v>
      </c>
      <c r="H63" s="4"/>
      <c r="I63" s="4">
        <v>2250</v>
      </c>
      <c r="J63" s="4"/>
      <c r="K63" s="4">
        <f t="shared" si="3"/>
        <v>1500</v>
      </c>
      <c r="L63" s="4"/>
      <c r="M63" s="4"/>
    </row>
    <row r="64" spans="1:13" ht="18">
      <c r="A64" s="3" t="s">
        <v>47</v>
      </c>
      <c r="B64" s="3"/>
      <c r="C64" s="4">
        <f>1000</f>
        <v>1000</v>
      </c>
      <c r="D64" s="4"/>
      <c r="E64" s="4">
        <v>3391.06</v>
      </c>
      <c r="F64" s="4"/>
      <c r="G64" s="4">
        <f t="shared" si="4"/>
        <v>-2391.06</v>
      </c>
      <c r="H64" s="4"/>
      <c r="I64" s="4">
        <v>3500</v>
      </c>
      <c r="J64" s="4"/>
      <c r="K64" s="4">
        <f t="shared" si="3"/>
        <v>2500</v>
      </c>
      <c r="L64" s="4"/>
      <c r="M64" s="4"/>
    </row>
    <row r="65" spans="1:13" ht="18">
      <c r="A65" s="3" t="s">
        <v>48</v>
      </c>
      <c r="B65" s="3"/>
      <c r="C65" s="4">
        <f>250</f>
        <v>250</v>
      </c>
      <c r="D65" s="4"/>
      <c r="E65" s="4">
        <v>1941.65</v>
      </c>
      <c r="F65" s="4"/>
      <c r="G65" s="4">
        <f t="shared" si="4"/>
        <v>-1691.65</v>
      </c>
      <c r="H65" s="4"/>
      <c r="I65" s="4">
        <v>2000</v>
      </c>
      <c r="J65" s="4"/>
      <c r="K65" s="4">
        <f t="shared" si="3"/>
        <v>1750</v>
      </c>
      <c r="L65" s="4"/>
      <c r="M65" s="4"/>
    </row>
    <row r="66" spans="1:13" ht="18">
      <c r="A66" s="3" t="s">
        <v>49</v>
      </c>
      <c r="B66" s="3"/>
      <c r="C66" s="4">
        <f>-500</f>
        <v>-500</v>
      </c>
      <c r="D66" s="4"/>
      <c r="E66" s="4">
        <v>-732.38</v>
      </c>
      <c r="F66" s="4"/>
      <c r="G66" s="4">
        <f t="shared" si="4"/>
        <v>232.38</v>
      </c>
      <c r="H66" s="4"/>
      <c r="I66" s="4">
        <v>-750</v>
      </c>
      <c r="J66" s="4"/>
      <c r="K66" s="4">
        <f t="shared" si="3"/>
        <v>-250</v>
      </c>
      <c r="L66" s="4"/>
      <c r="M66" s="4"/>
    </row>
    <row r="67" spans="1:13" ht="18">
      <c r="A67" s="3" t="s">
        <v>50</v>
      </c>
      <c r="B67" s="3"/>
      <c r="C67" s="4">
        <f>250</f>
        <v>250</v>
      </c>
      <c r="D67" s="4"/>
      <c r="E67" s="4">
        <v>134</v>
      </c>
      <c r="F67" s="4"/>
      <c r="G67" s="4">
        <f t="shared" si="4"/>
        <v>116</v>
      </c>
      <c r="H67" s="4"/>
      <c r="I67" s="4">
        <v>250</v>
      </c>
      <c r="J67" s="4"/>
      <c r="K67" s="4">
        <f t="shared" si="3"/>
        <v>0</v>
      </c>
      <c r="L67" s="4"/>
      <c r="M67" s="4"/>
    </row>
    <row r="68" spans="1:13" ht="18">
      <c r="A68" s="3" t="s">
        <v>175</v>
      </c>
      <c r="B68" s="3"/>
      <c r="C68" s="4"/>
      <c r="D68" s="4"/>
      <c r="E68" s="4">
        <v>68</v>
      </c>
      <c r="F68" s="4"/>
      <c r="G68" s="4">
        <f t="shared" si="4"/>
        <v>-68</v>
      </c>
      <c r="H68" s="4"/>
      <c r="I68" s="4">
        <v>75</v>
      </c>
      <c r="J68" s="4"/>
      <c r="K68" s="4">
        <f t="shared" si="3"/>
        <v>75</v>
      </c>
      <c r="L68" s="4"/>
      <c r="M68" s="4"/>
    </row>
    <row r="69" spans="1:13" ht="18">
      <c r="A69" s="3" t="s">
        <v>51</v>
      </c>
      <c r="B69" s="3"/>
      <c r="C69" s="4">
        <f>950</f>
        <v>950</v>
      </c>
      <c r="D69" s="4"/>
      <c r="E69" s="4">
        <v>2287.38</v>
      </c>
      <c r="F69" s="4"/>
      <c r="G69" s="4">
        <f t="shared" si="4"/>
        <v>-1337.38</v>
      </c>
      <c r="H69" s="4"/>
      <c r="I69" s="4">
        <v>2500</v>
      </c>
      <c r="J69" s="4"/>
      <c r="K69" s="4">
        <f t="shared" si="3"/>
        <v>1550</v>
      </c>
      <c r="L69" s="4"/>
      <c r="M69" s="4"/>
    </row>
    <row r="70" spans="1:13" ht="18">
      <c r="A70" s="3" t="s">
        <v>52</v>
      </c>
      <c r="B70" s="3"/>
      <c r="C70" s="4">
        <f>200</f>
        <v>200</v>
      </c>
      <c r="D70" s="4"/>
      <c r="E70" s="4">
        <v>103.5</v>
      </c>
      <c r="F70" s="4"/>
      <c r="G70" s="4">
        <f t="shared" si="4"/>
        <v>96.5</v>
      </c>
      <c r="H70" s="4"/>
      <c r="I70" s="4">
        <v>200</v>
      </c>
      <c r="J70" s="4"/>
      <c r="K70" s="4">
        <f t="shared" si="3"/>
        <v>0</v>
      </c>
      <c r="L70" s="4"/>
      <c r="M70" s="4"/>
    </row>
    <row r="71" spans="1:13" ht="18">
      <c r="A71" s="3" t="s">
        <v>53</v>
      </c>
      <c r="B71" s="3"/>
      <c r="C71" s="4">
        <f>4000</f>
        <v>4000</v>
      </c>
      <c r="D71" s="4"/>
      <c r="E71" s="4">
        <v>7230.45</v>
      </c>
      <c r="F71" s="4"/>
      <c r="G71" s="4">
        <f t="shared" si="4"/>
        <v>-3230.45</v>
      </c>
      <c r="H71" s="4"/>
      <c r="I71" s="4">
        <v>7500</v>
      </c>
      <c r="J71" s="4"/>
      <c r="K71" s="4">
        <f t="shared" si="3"/>
        <v>3500</v>
      </c>
      <c r="L71" s="4"/>
      <c r="M71" s="4"/>
    </row>
    <row r="72" spans="1:13" ht="18">
      <c r="A72" s="3" t="s">
        <v>54</v>
      </c>
      <c r="B72" s="3"/>
      <c r="C72" s="4">
        <f>175</f>
        <v>175</v>
      </c>
      <c r="D72" s="4"/>
      <c r="E72" s="4">
        <v>364.5</v>
      </c>
      <c r="F72" s="4"/>
      <c r="G72" s="4">
        <f t="shared" si="4"/>
        <v>-189.5</v>
      </c>
      <c r="H72" s="4"/>
      <c r="I72" s="4">
        <v>375</v>
      </c>
      <c r="J72" s="4"/>
      <c r="K72" s="4">
        <f t="shared" si="3"/>
        <v>200</v>
      </c>
      <c r="L72" s="4"/>
      <c r="M72" s="4"/>
    </row>
    <row r="73" spans="1:13" ht="18">
      <c r="A73" s="3" t="s">
        <v>55</v>
      </c>
      <c r="B73" s="3"/>
      <c r="C73" s="4">
        <f>3000</f>
        <v>3000</v>
      </c>
      <c r="D73" s="4"/>
      <c r="E73" s="4">
        <v>2016.5</v>
      </c>
      <c r="F73" s="4"/>
      <c r="G73" s="4">
        <f t="shared" si="4"/>
        <v>983.5</v>
      </c>
      <c r="H73" s="4"/>
      <c r="I73" s="4">
        <v>3000</v>
      </c>
      <c r="J73" s="4"/>
      <c r="K73" s="4">
        <f t="shared" si="3"/>
        <v>0</v>
      </c>
      <c r="L73" s="4"/>
      <c r="M73" s="4"/>
    </row>
    <row r="74" spans="1:13" ht="18">
      <c r="A74" s="3" t="s">
        <v>56</v>
      </c>
      <c r="B74" s="3"/>
      <c r="C74" s="4">
        <f>350</f>
        <v>350</v>
      </c>
      <c r="D74" s="4"/>
      <c r="E74" s="4">
        <v>709.5</v>
      </c>
      <c r="F74" s="4"/>
      <c r="G74" s="4">
        <f t="shared" si="4"/>
        <v>-359.5</v>
      </c>
      <c r="H74" s="4"/>
      <c r="I74" s="4">
        <v>750</v>
      </c>
      <c r="J74" s="4"/>
      <c r="K74" s="4">
        <f t="shared" si="3"/>
        <v>400</v>
      </c>
      <c r="L74" s="4"/>
      <c r="M74" s="4"/>
    </row>
    <row r="75" spans="1:13" ht="18">
      <c r="A75" s="3" t="s">
        <v>57</v>
      </c>
      <c r="B75" s="3"/>
      <c r="C75" s="4">
        <f>50</f>
        <v>50</v>
      </c>
      <c r="D75" s="4"/>
      <c r="E75" s="4">
        <v>75</v>
      </c>
      <c r="F75" s="4"/>
      <c r="G75" s="4">
        <f t="shared" ref="G75:G94" si="5">SUM(C75-E75)</f>
        <v>-25</v>
      </c>
      <c r="H75" s="4"/>
      <c r="I75" s="4">
        <v>75</v>
      </c>
      <c r="J75" s="4"/>
      <c r="K75" s="4">
        <f t="shared" si="3"/>
        <v>25</v>
      </c>
      <c r="L75" s="4"/>
      <c r="M75" s="4"/>
    </row>
    <row r="76" spans="1:13" ht="18">
      <c r="A76" s="3" t="s">
        <v>58</v>
      </c>
      <c r="B76" s="3"/>
      <c r="C76" s="4">
        <f>250</f>
        <v>250</v>
      </c>
      <c r="D76" s="4"/>
      <c r="E76" s="4">
        <v>324</v>
      </c>
      <c r="F76" s="4"/>
      <c r="G76" s="4">
        <f t="shared" si="5"/>
        <v>-74</v>
      </c>
      <c r="H76" s="4"/>
      <c r="I76" s="4">
        <v>375</v>
      </c>
      <c r="J76" s="4"/>
      <c r="K76" s="4">
        <f t="shared" si="3"/>
        <v>125</v>
      </c>
      <c r="L76" s="4"/>
      <c r="M76" s="4"/>
    </row>
    <row r="77" spans="1:13" ht="18">
      <c r="A77" s="3" t="s">
        <v>59</v>
      </c>
      <c r="B77" s="3"/>
      <c r="C77" s="4">
        <f>20</f>
        <v>20</v>
      </c>
      <c r="D77" s="4"/>
      <c r="E77" s="4">
        <v>66</v>
      </c>
      <c r="F77" s="4"/>
      <c r="G77" s="4">
        <f t="shared" si="5"/>
        <v>-46</v>
      </c>
      <c r="H77" s="4"/>
      <c r="I77" s="4">
        <v>75</v>
      </c>
      <c r="J77" s="4"/>
      <c r="K77" s="4">
        <f t="shared" si="3"/>
        <v>55</v>
      </c>
      <c r="L77" s="4"/>
      <c r="M77" s="4"/>
    </row>
    <row r="78" spans="1:13" ht="18">
      <c r="A78" s="3" t="s">
        <v>60</v>
      </c>
      <c r="B78" s="3"/>
      <c r="C78" s="4">
        <f>550</f>
        <v>550</v>
      </c>
      <c r="D78" s="4"/>
      <c r="E78" s="4">
        <v>1091</v>
      </c>
      <c r="F78" s="4"/>
      <c r="G78" s="4">
        <f t="shared" si="5"/>
        <v>-541</v>
      </c>
      <c r="H78" s="4"/>
      <c r="I78" s="4">
        <v>1250</v>
      </c>
      <c r="J78" s="4"/>
      <c r="K78" s="4">
        <f t="shared" si="3"/>
        <v>700</v>
      </c>
      <c r="L78" s="4"/>
      <c r="M78" s="4"/>
    </row>
    <row r="79" spans="1:13" ht="18">
      <c r="A79" s="3" t="s">
        <v>176</v>
      </c>
      <c r="B79" s="3"/>
      <c r="C79" s="4"/>
      <c r="D79" s="4"/>
      <c r="E79" s="4">
        <v>258</v>
      </c>
      <c r="F79" s="4"/>
      <c r="G79" s="4">
        <f t="shared" si="5"/>
        <v>-258</v>
      </c>
      <c r="H79" s="4"/>
      <c r="I79" s="4">
        <v>300</v>
      </c>
      <c r="J79" s="4"/>
      <c r="K79" s="4">
        <f t="shared" si="3"/>
        <v>300</v>
      </c>
      <c r="L79" s="4"/>
      <c r="M79" s="4"/>
    </row>
    <row r="80" spans="1:13" ht="18">
      <c r="A80" s="3" t="s">
        <v>61</v>
      </c>
      <c r="B80" s="3"/>
      <c r="C80" s="4">
        <f>300</f>
        <v>300</v>
      </c>
      <c r="D80" s="4"/>
      <c r="E80" s="4">
        <v>270</v>
      </c>
      <c r="F80" s="4"/>
      <c r="G80" s="4">
        <f t="shared" si="5"/>
        <v>30</v>
      </c>
      <c r="H80" s="4"/>
      <c r="I80" s="4">
        <v>300</v>
      </c>
      <c r="J80" s="4"/>
      <c r="K80" s="4">
        <f t="shared" si="3"/>
        <v>0</v>
      </c>
      <c r="L80" s="4"/>
      <c r="M80" s="4"/>
    </row>
    <row r="81" spans="1:13" ht="18">
      <c r="A81" s="3" t="s">
        <v>177</v>
      </c>
      <c r="B81" s="3"/>
      <c r="C81" s="4"/>
      <c r="D81" s="4"/>
      <c r="E81" s="4">
        <v>60</v>
      </c>
      <c r="F81" s="4"/>
      <c r="G81" s="4">
        <f t="shared" si="5"/>
        <v>-60</v>
      </c>
      <c r="H81" s="4"/>
      <c r="I81" s="4">
        <v>75</v>
      </c>
      <c r="J81" s="4"/>
      <c r="K81" s="4">
        <f t="shared" si="3"/>
        <v>75</v>
      </c>
      <c r="L81" s="4"/>
      <c r="M81" s="4"/>
    </row>
    <row r="82" spans="1:13" ht="18">
      <c r="A82" s="3" t="s">
        <v>62</v>
      </c>
      <c r="B82" s="3"/>
      <c r="C82" s="4">
        <f>500</f>
        <v>500</v>
      </c>
      <c r="D82" s="4"/>
      <c r="E82" s="4">
        <v>1182.22</v>
      </c>
      <c r="F82" s="4"/>
      <c r="G82" s="4">
        <f t="shared" si="5"/>
        <v>-682.22</v>
      </c>
      <c r="H82" s="4"/>
      <c r="I82" s="4">
        <v>1250</v>
      </c>
      <c r="J82" s="4"/>
      <c r="K82" s="4">
        <f t="shared" si="3"/>
        <v>750</v>
      </c>
      <c r="L82" s="4"/>
      <c r="M82" s="4"/>
    </row>
    <row r="83" spans="1:13" ht="18">
      <c r="A83" s="3" t="s">
        <v>63</v>
      </c>
      <c r="B83" s="3"/>
      <c r="C83" s="4">
        <f>75</f>
        <v>75</v>
      </c>
      <c r="D83" s="4"/>
      <c r="E83" s="4">
        <v>140</v>
      </c>
      <c r="F83" s="4"/>
      <c r="G83" s="4">
        <f t="shared" si="5"/>
        <v>-65</v>
      </c>
      <c r="H83" s="4"/>
      <c r="I83" s="4">
        <v>75</v>
      </c>
      <c r="J83" s="4"/>
      <c r="K83" s="4">
        <f t="shared" si="3"/>
        <v>0</v>
      </c>
      <c r="L83" s="4"/>
      <c r="M83" s="4"/>
    </row>
    <row r="84" spans="1:13" ht="18">
      <c r="A84" s="3" t="s">
        <v>64</v>
      </c>
      <c r="B84" s="3"/>
      <c r="C84" s="4">
        <f>150</f>
        <v>150</v>
      </c>
      <c r="D84" s="4"/>
      <c r="E84" s="4">
        <v>480</v>
      </c>
      <c r="F84" s="4"/>
      <c r="G84" s="4">
        <f t="shared" si="5"/>
        <v>-330</v>
      </c>
      <c r="H84" s="4"/>
      <c r="I84" s="4">
        <v>500</v>
      </c>
      <c r="J84" s="4"/>
      <c r="K84" s="4">
        <f t="shared" si="3"/>
        <v>350</v>
      </c>
      <c r="L84" s="4"/>
      <c r="M84" s="4"/>
    </row>
    <row r="85" spans="1:13" ht="18">
      <c r="A85" s="3" t="s">
        <v>65</v>
      </c>
      <c r="B85" s="3"/>
      <c r="C85" s="4">
        <f>300</f>
        <v>300</v>
      </c>
      <c r="D85" s="4"/>
      <c r="E85" s="4">
        <v>947</v>
      </c>
      <c r="F85" s="4"/>
      <c r="G85" s="4">
        <f t="shared" si="5"/>
        <v>-647</v>
      </c>
      <c r="H85" s="4"/>
      <c r="I85" s="4">
        <v>1000</v>
      </c>
      <c r="J85" s="4"/>
      <c r="K85" s="4">
        <f t="shared" si="3"/>
        <v>700</v>
      </c>
      <c r="L85" s="4"/>
      <c r="M85" s="4"/>
    </row>
    <row r="86" spans="1:13" ht="18">
      <c r="A86" s="3" t="s">
        <v>66</v>
      </c>
      <c r="B86" s="3"/>
      <c r="C86" s="4">
        <f>200</f>
        <v>200</v>
      </c>
      <c r="D86" s="4"/>
      <c r="E86" s="4">
        <v>925</v>
      </c>
      <c r="F86" s="4"/>
      <c r="G86" s="4">
        <f t="shared" si="5"/>
        <v>-725</v>
      </c>
      <c r="H86" s="4"/>
      <c r="I86" s="4">
        <v>1000</v>
      </c>
      <c r="J86" s="4"/>
      <c r="K86" s="4">
        <f t="shared" si="3"/>
        <v>800</v>
      </c>
      <c r="L86" s="4"/>
      <c r="M86" s="4"/>
    </row>
    <row r="87" spans="1:13" ht="18">
      <c r="A87" s="3" t="s">
        <v>67</v>
      </c>
      <c r="B87" s="3"/>
      <c r="C87" s="4">
        <f>120</f>
        <v>120</v>
      </c>
      <c r="D87" s="4"/>
      <c r="E87" s="4">
        <v>47</v>
      </c>
      <c r="F87" s="4"/>
      <c r="G87" s="4">
        <f t="shared" si="5"/>
        <v>73</v>
      </c>
      <c r="H87" s="4"/>
      <c r="I87" s="4">
        <v>120</v>
      </c>
      <c r="J87" s="4"/>
      <c r="K87" s="4">
        <f t="shared" si="3"/>
        <v>0</v>
      </c>
      <c r="L87" s="4"/>
      <c r="M87" s="4"/>
    </row>
    <row r="88" spans="1:13" ht="18">
      <c r="A88" s="3" t="s">
        <v>68</v>
      </c>
      <c r="B88" s="3"/>
      <c r="C88" s="4">
        <f>250</f>
        <v>250</v>
      </c>
      <c r="D88" s="4"/>
      <c r="E88" s="4">
        <v>975</v>
      </c>
      <c r="F88" s="4"/>
      <c r="G88" s="4">
        <f t="shared" si="5"/>
        <v>-725</v>
      </c>
      <c r="H88" s="4"/>
      <c r="I88" s="4">
        <v>1000</v>
      </c>
      <c r="J88" s="4"/>
      <c r="K88" s="4">
        <f t="shared" si="3"/>
        <v>750</v>
      </c>
      <c r="L88" s="4"/>
      <c r="M88" s="4"/>
    </row>
    <row r="89" spans="1:13" ht="18">
      <c r="A89" s="3" t="s">
        <v>69</v>
      </c>
      <c r="B89" s="3"/>
      <c r="C89" s="4">
        <f>80</f>
        <v>80</v>
      </c>
      <c r="D89" s="4"/>
      <c r="E89" s="4">
        <v>110</v>
      </c>
      <c r="F89" s="4"/>
      <c r="G89" s="4">
        <f t="shared" si="5"/>
        <v>-30</v>
      </c>
      <c r="H89" s="4"/>
      <c r="I89" s="4">
        <v>100</v>
      </c>
      <c r="J89" s="4"/>
      <c r="K89" s="4">
        <f t="shared" si="3"/>
        <v>20</v>
      </c>
      <c r="L89" s="4"/>
      <c r="M89" s="4"/>
    </row>
    <row r="90" spans="1:13" ht="18">
      <c r="A90" s="3" t="s">
        <v>70</v>
      </c>
      <c r="B90" s="3"/>
      <c r="C90" s="4">
        <f>1750</f>
        <v>1750</v>
      </c>
      <c r="D90" s="4"/>
      <c r="E90" s="4">
        <v>1471</v>
      </c>
      <c r="F90" s="4"/>
      <c r="G90" s="4">
        <f t="shared" si="5"/>
        <v>279</v>
      </c>
      <c r="H90" s="4"/>
      <c r="I90" s="4">
        <v>1500</v>
      </c>
      <c r="J90" s="4"/>
      <c r="K90" s="4">
        <f t="shared" si="3"/>
        <v>-250</v>
      </c>
      <c r="L90" s="4"/>
      <c r="M90" s="4"/>
    </row>
    <row r="91" spans="1:13" s="1" customFormat="1" ht="18">
      <c r="A91" s="8" t="s">
        <v>71</v>
      </c>
      <c r="B91" s="8"/>
      <c r="C91" s="9">
        <f>(((((((((((((((((((((((((((((((((((((((C45)+(C46))+(C47))+(C48))+(C49))+(C50))+(C51))+(C52))+(C53))+(C56))+(C57))+(C58))+(C60))+(C61))+(C62))+(C63))+(C64))+(C65))+(C66))+(C67))+(C69))+(C70))+(C71))+(C72))+(C73))+(C74))+(C75))+(C76))+(C77))+(C78))+(C80))+(C82))+(C83))+(C84))+(C85))+(C86))+(C87))+(C88))+(C89))+(C90)</f>
        <v>50749.91</v>
      </c>
      <c r="D91" s="9"/>
      <c r="E91" s="9">
        <f>(((((((((((((((((((((((((((((((((((((((E45)+(E46))+(E47))+(E48))+(E49))+(E50))+(E51))+(E52))+(E53))+(E56))+(E57))+(E58))+(E60))+(E61))+(E62))+(E63))+(E64))+(E65))+(E66))+(E67))+(E69))+(E70))+(E71))+(E72))+(E73))+(E74))+(E75))+(E76))+(E77))+(E78))+(E80))+(E82))+(E83))+(E84))+(E85))+(E86))+(E87))+(E88))+(E89))+(E90)+E81+E79+E68+E59</f>
        <v>63725.729999999996</v>
      </c>
      <c r="F91" s="9"/>
      <c r="G91" s="9">
        <f t="shared" si="5"/>
        <v>-12975.819999999992</v>
      </c>
      <c r="H91" s="9"/>
      <c r="I91" s="9">
        <f>(((((((((((((((((((((((((((((((((((((((((((I45)+(I46))+(I47))+(I48))+(I49))+(I50))+(I51))+(I52))+(I53))+(I54))+(I55))+(I56))+(I57))+(I58))+(I59))+(I60))+(I61))+(I62))+(I63))+(I66))+(I67))+(I68))+(I69))+(I70))+(I71))+(I72))+(I73))+(I74))+(I75))+(I76))+(I77))+(I78))+(I79))+(I80))+(I81))+(I82))+(I83))+(I84))+(I85))+(I86))+(I87))+(I88))+(I89))+(I90)+I64+I65-3289.47</f>
        <v>62056.53</v>
      </c>
      <c r="J91" s="9"/>
      <c r="K91" s="9">
        <f t="shared" si="3"/>
        <v>11306.619999999995</v>
      </c>
      <c r="L91" s="9"/>
      <c r="M91" s="9"/>
    </row>
    <row r="92" spans="1:13" s="1" customFormat="1" ht="33.75" customHeight="1">
      <c r="A92" s="8" t="s">
        <v>72</v>
      </c>
      <c r="B92" s="8"/>
      <c r="C92" s="9">
        <f>((((C27)+(C28))+(C36))+(C44))+(C91)</f>
        <v>161824.91</v>
      </c>
      <c r="D92" s="9"/>
      <c r="E92" s="9">
        <f>(((((E27)+(E28))+(E36))+(E41))+(E44))+(E91)</f>
        <v>181575.84</v>
      </c>
      <c r="F92" s="9"/>
      <c r="G92" s="9">
        <f t="shared" si="5"/>
        <v>-19750.929999999993</v>
      </c>
      <c r="H92" s="9"/>
      <c r="I92" s="9">
        <f>(((((I27)+(I28))+(I36))+(I41))+(I44))+(I91)</f>
        <v>200881.53</v>
      </c>
      <c r="J92" s="9"/>
      <c r="K92" s="9">
        <f>(((((K27)+(K28))+(K36))+(K41))+(K44))+(K91)</f>
        <v>39056.619999999995</v>
      </c>
      <c r="L92" s="9"/>
      <c r="M92" s="9"/>
    </row>
    <row r="93" spans="1:13" ht="18">
      <c r="A93" s="3" t="s">
        <v>73</v>
      </c>
      <c r="B93" s="3"/>
      <c r="C93" s="4">
        <f>25</f>
        <v>25</v>
      </c>
      <c r="D93" s="4"/>
      <c r="E93" s="4">
        <v>299.97000000000003</v>
      </c>
      <c r="F93" s="4"/>
      <c r="G93" s="4">
        <f t="shared" si="5"/>
        <v>-274.97000000000003</v>
      </c>
      <c r="H93" s="4"/>
      <c r="I93" s="4">
        <v>300</v>
      </c>
      <c r="J93" s="4"/>
      <c r="K93" s="4">
        <f t="shared" si="3"/>
        <v>275</v>
      </c>
      <c r="L93" s="4"/>
      <c r="M93" s="4"/>
    </row>
    <row r="94" spans="1:13" s="1" customFormat="1" ht="36.75" customHeight="1">
      <c r="A94" s="8" t="s">
        <v>74</v>
      </c>
      <c r="B94" s="8"/>
      <c r="C94" s="9">
        <f>((((C10)+(C25))+(C26))+(C92))+(C93)</f>
        <v>764349.91</v>
      </c>
      <c r="D94" s="9"/>
      <c r="E94" s="9">
        <f>SUM(E93+E92+E26+E25+E10)</f>
        <v>787888.27</v>
      </c>
      <c r="F94" s="9"/>
      <c r="G94" s="9">
        <f t="shared" si="5"/>
        <v>-23538.359999999986</v>
      </c>
      <c r="H94" s="9"/>
      <c r="I94" s="9">
        <f>SUM(I93+I92+I26+I25+I10)</f>
        <v>814381.53</v>
      </c>
      <c r="J94" s="9"/>
      <c r="K94" s="9">
        <f>SUM(K93+K92+K26+K25+K10)</f>
        <v>50031.619999999995</v>
      </c>
      <c r="L94" s="9"/>
      <c r="M94" s="9"/>
    </row>
    <row r="95" spans="1:13" ht="18">
      <c r="A95" s="3" t="s">
        <v>75</v>
      </c>
      <c r="B95" s="3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</row>
    <row r="96" spans="1:13" ht="18">
      <c r="A96" s="3" t="s">
        <v>76</v>
      </c>
      <c r="B96" s="3"/>
      <c r="C96" s="4">
        <f>11000</f>
        <v>11000</v>
      </c>
      <c r="D96" s="4"/>
      <c r="E96" s="4">
        <f>26553.13</f>
        <v>26553.13</v>
      </c>
      <c r="F96" s="4"/>
      <c r="G96" s="4">
        <f>SUM(C96-E96)</f>
        <v>-15553.130000000001</v>
      </c>
      <c r="H96" s="4"/>
      <c r="I96" s="4">
        <v>25000</v>
      </c>
      <c r="J96" s="4"/>
      <c r="K96" s="4">
        <f t="shared" ref="K96:K98" si="6">SUM(I96-C96)</f>
        <v>14000</v>
      </c>
      <c r="L96" s="4"/>
      <c r="M96" s="4"/>
    </row>
    <row r="97" spans="1:13" ht="18">
      <c r="A97" s="3" t="s">
        <v>77</v>
      </c>
      <c r="B97" s="3"/>
      <c r="C97" s="4">
        <f>2500</f>
        <v>2500</v>
      </c>
      <c r="D97" s="4"/>
      <c r="E97" s="4">
        <f>7377.66</f>
        <v>7377.66</v>
      </c>
      <c r="F97" s="4"/>
      <c r="G97" s="4">
        <f>SUM(C97-E97)</f>
        <v>-4877.66</v>
      </c>
      <c r="H97" s="4"/>
      <c r="I97" s="4">
        <v>5000</v>
      </c>
      <c r="J97" s="4"/>
      <c r="K97" s="4">
        <f t="shared" si="6"/>
        <v>2500</v>
      </c>
      <c r="L97" s="4"/>
      <c r="M97" s="4"/>
    </row>
    <row r="98" spans="1:13" ht="18">
      <c r="A98" s="3" t="s">
        <v>78</v>
      </c>
      <c r="B98" s="3"/>
      <c r="C98" s="4">
        <f>(C96)+(C97)</f>
        <v>13500</v>
      </c>
      <c r="D98" s="4"/>
      <c r="E98" s="4">
        <f>(E96)+(E97)</f>
        <v>33930.79</v>
      </c>
      <c r="F98" s="4"/>
      <c r="G98" s="4">
        <f>SUM(C98-E98)</f>
        <v>-20430.79</v>
      </c>
      <c r="H98" s="4"/>
      <c r="I98" s="4">
        <f>(I96)+(I97)</f>
        <v>30000</v>
      </c>
      <c r="J98" s="4"/>
      <c r="K98" s="9">
        <f t="shared" si="6"/>
        <v>16500</v>
      </c>
      <c r="L98" s="4"/>
      <c r="M98" s="4"/>
    </row>
    <row r="99" spans="1:13" s="1" customFormat="1" ht="36.75" customHeight="1">
      <c r="A99" s="8" t="s">
        <v>79</v>
      </c>
      <c r="B99" s="8"/>
      <c r="C99" s="9">
        <f>(C94)-(C98)</f>
        <v>750849.91</v>
      </c>
      <c r="D99" s="9"/>
      <c r="E99" s="9">
        <f>(E94)-(E98)</f>
        <v>753957.48</v>
      </c>
      <c r="F99" s="9"/>
      <c r="G99" s="9">
        <f>SUM(C99-E99)</f>
        <v>-3107.5699999999488</v>
      </c>
      <c r="H99" s="9"/>
      <c r="I99" s="9">
        <f>(I94)-(I98)</f>
        <v>784381.53</v>
      </c>
      <c r="J99" s="9"/>
      <c r="K99" s="9">
        <f>(K94)-(K98)</f>
        <v>33531.619999999995</v>
      </c>
      <c r="L99" s="9"/>
      <c r="M99" s="9"/>
    </row>
    <row r="100" spans="1:13" ht="43.5" customHeight="1">
      <c r="A100" s="8" t="s">
        <v>80</v>
      </c>
      <c r="B100" s="3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</row>
    <row r="101" spans="1:13" ht="18">
      <c r="A101" s="3" t="s">
        <v>81</v>
      </c>
      <c r="B101" s="3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</row>
    <row r="102" spans="1:13" ht="18">
      <c r="A102" s="3" t="s">
        <v>82</v>
      </c>
      <c r="B102" s="3"/>
      <c r="C102" s="4">
        <f>27000</f>
        <v>27000</v>
      </c>
      <c r="D102" s="4"/>
      <c r="E102" s="4">
        <f>26378</f>
        <v>26378</v>
      </c>
      <c r="F102" s="4"/>
      <c r="G102" s="4">
        <f t="shared" ref="G102:G112" si="7">SUM(C102-E102)</f>
        <v>622</v>
      </c>
      <c r="H102" s="4"/>
      <c r="I102" s="4">
        <v>33500</v>
      </c>
      <c r="J102" s="4"/>
      <c r="K102" s="37">
        <f t="shared" ref="K102:K112" si="8">SUM(I102-C102)</f>
        <v>6500</v>
      </c>
      <c r="L102" s="4"/>
      <c r="M102" s="4"/>
    </row>
    <row r="103" spans="1:13" s="1" customFormat="1" ht="30.75" customHeight="1">
      <c r="A103" s="8" t="s">
        <v>83</v>
      </c>
      <c r="B103" s="8"/>
      <c r="C103" s="9">
        <f>(C101)+(C102)</f>
        <v>27000</v>
      </c>
      <c r="D103" s="9"/>
      <c r="E103" s="9">
        <f>(E101)+(E102)</f>
        <v>26378</v>
      </c>
      <c r="F103" s="9"/>
      <c r="G103" s="9">
        <f t="shared" si="7"/>
        <v>622</v>
      </c>
      <c r="H103" s="9"/>
      <c r="I103" s="9">
        <f>(I101)+(I102)</f>
        <v>33500</v>
      </c>
      <c r="J103" s="9"/>
      <c r="K103" s="9">
        <f t="shared" si="8"/>
        <v>6500</v>
      </c>
      <c r="L103" s="9"/>
      <c r="M103" s="9"/>
    </row>
    <row r="104" spans="1:13" ht="18">
      <c r="A104" s="3" t="s">
        <v>84</v>
      </c>
      <c r="B104" s="3"/>
      <c r="C104" s="4">
        <f>8000</f>
        <v>8000</v>
      </c>
      <c r="D104" s="4"/>
      <c r="E104" s="4">
        <f>18624.93</f>
        <v>18624.93</v>
      </c>
      <c r="F104" s="4"/>
      <c r="G104" s="4">
        <f t="shared" si="7"/>
        <v>-10624.93</v>
      </c>
      <c r="H104" s="4"/>
      <c r="I104" s="4">
        <v>13000</v>
      </c>
      <c r="J104" s="4"/>
      <c r="K104" s="4">
        <f t="shared" si="8"/>
        <v>5000</v>
      </c>
      <c r="L104" s="4"/>
      <c r="M104" s="4"/>
    </row>
    <row r="105" spans="1:13" ht="18">
      <c r="A105" s="3" t="s">
        <v>85</v>
      </c>
      <c r="B105" s="3"/>
      <c r="C105" s="4">
        <f>2500</f>
        <v>2500</v>
      </c>
      <c r="D105" s="4"/>
      <c r="E105" s="4">
        <f>2419.27</f>
        <v>2419.27</v>
      </c>
      <c r="F105" s="4"/>
      <c r="G105" s="4">
        <f t="shared" si="7"/>
        <v>80.730000000000018</v>
      </c>
      <c r="H105" s="4"/>
      <c r="I105" s="4">
        <v>2500</v>
      </c>
      <c r="J105" s="4"/>
      <c r="K105" s="4">
        <f t="shared" si="8"/>
        <v>0</v>
      </c>
      <c r="L105" s="4"/>
      <c r="M105" s="4"/>
    </row>
    <row r="106" spans="1:13" ht="18">
      <c r="A106" s="3" t="s">
        <v>86</v>
      </c>
      <c r="B106" s="3"/>
      <c r="C106" s="4">
        <f>17000</f>
        <v>17000</v>
      </c>
      <c r="D106" s="4"/>
      <c r="E106" s="4">
        <f>15157.07</f>
        <v>15157.07</v>
      </c>
      <c r="F106" s="4"/>
      <c r="G106" s="4">
        <f t="shared" si="7"/>
        <v>1842.9300000000003</v>
      </c>
      <c r="H106" s="4"/>
      <c r="I106" s="4">
        <v>15250</v>
      </c>
      <c r="J106" s="4"/>
      <c r="K106" s="4">
        <f t="shared" si="8"/>
        <v>-1750</v>
      </c>
      <c r="L106" s="4"/>
      <c r="M106" s="4"/>
    </row>
    <row r="107" spans="1:13" ht="18">
      <c r="A107" s="3" t="s">
        <v>87</v>
      </c>
      <c r="B107" s="3"/>
      <c r="C107" s="4">
        <f>1300</f>
        <v>1300</v>
      </c>
      <c r="D107" s="4"/>
      <c r="E107" s="4">
        <f>1555.06</f>
        <v>1555.06</v>
      </c>
      <c r="F107" s="4"/>
      <c r="G107" s="4">
        <f t="shared" si="7"/>
        <v>-255.05999999999995</v>
      </c>
      <c r="H107" s="4"/>
      <c r="I107" s="4">
        <v>1500</v>
      </c>
      <c r="J107" s="4"/>
      <c r="K107" s="4">
        <f t="shared" si="8"/>
        <v>200</v>
      </c>
      <c r="L107" s="4"/>
      <c r="M107" s="4"/>
    </row>
    <row r="108" spans="1:13" ht="18">
      <c r="A108" s="3" t="s">
        <v>88</v>
      </c>
      <c r="B108" s="3"/>
      <c r="C108" s="4"/>
      <c r="D108" s="4"/>
      <c r="E108" s="4"/>
      <c r="F108" s="4"/>
      <c r="G108" s="4">
        <f t="shared" si="7"/>
        <v>0</v>
      </c>
      <c r="H108" s="4"/>
      <c r="I108" s="4"/>
      <c r="J108" s="4"/>
      <c r="K108" s="4">
        <f t="shared" si="8"/>
        <v>0</v>
      </c>
      <c r="L108" s="4"/>
      <c r="M108" s="4"/>
    </row>
    <row r="109" spans="1:13" ht="18">
      <c r="A109" s="3" t="s">
        <v>89</v>
      </c>
      <c r="B109" s="3"/>
      <c r="C109" s="4">
        <f>1000</f>
        <v>1000</v>
      </c>
      <c r="D109" s="4"/>
      <c r="E109" s="4">
        <f>1284.1</f>
        <v>1284.0999999999999</v>
      </c>
      <c r="F109" s="4"/>
      <c r="G109" s="4">
        <f t="shared" si="7"/>
        <v>-284.09999999999991</v>
      </c>
      <c r="H109" s="4"/>
      <c r="I109" s="4">
        <v>1500</v>
      </c>
      <c r="J109" s="4"/>
      <c r="K109" s="4">
        <f t="shared" si="8"/>
        <v>500</v>
      </c>
      <c r="L109" s="4"/>
      <c r="M109" s="4"/>
    </row>
    <row r="110" spans="1:13" ht="18">
      <c r="A110" s="3" t="s">
        <v>90</v>
      </c>
      <c r="B110" s="3"/>
      <c r="C110" s="4">
        <f>150</f>
        <v>150</v>
      </c>
      <c r="D110" s="4"/>
      <c r="E110" s="4">
        <f>19</f>
        <v>19</v>
      </c>
      <c r="F110" s="4"/>
      <c r="G110" s="4">
        <f t="shared" si="7"/>
        <v>131</v>
      </c>
      <c r="H110" s="4"/>
      <c r="I110" s="4">
        <v>150</v>
      </c>
      <c r="J110" s="4"/>
      <c r="K110" s="4">
        <f t="shared" si="8"/>
        <v>0</v>
      </c>
      <c r="L110" s="4"/>
      <c r="M110" s="4"/>
    </row>
    <row r="111" spans="1:13" ht="18">
      <c r="A111" s="3" t="s">
        <v>178</v>
      </c>
      <c r="B111" s="3"/>
      <c r="C111" s="4"/>
      <c r="D111" s="4"/>
      <c r="E111" s="4">
        <f>7400</f>
        <v>7400</v>
      </c>
      <c r="F111" s="4"/>
      <c r="G111" s="4">
        <f t="shared" si="7"/>
        <v>-7400</v>
      </c>
      <c r="H111" s="4"/>
      <c r="I111" s="4">
        <v>0</v>
      </c>
      <c r="J111" s="4"/>
      <c r="K111" s="4">
        <f t="shared" si="8"/>
        <v>0</v>
      </c>
      <c r="L111" s="4"/>
      <c r="M111" s="4"/>
    </row>
    <row r="112" spans="1:13" s="1" customFormat="1" ht="32.25" customHeight="1">
      <c r="A112" s="8" t="s">
        <v>91</v>
      </c>
      <c r="B112" s="8"/>
      <c r="C112" s="9">
        <f>((C108)+(C109))+(C110)</f>
        <v>1150</v>
      </c>
      <c r="D112" s="9"/>
      <c r="E112" s="9">
        <f>(((E108)+(E109))+(E110))+(E111)</f>
        <v>8703.1</v>
      </c>
      <c r="F112" s="9"/>
      <c r="G112" s="9">
        <f t="shared" si="7"/>
        <v>-7553.1</v>
      </c>
      <c r="H112" s="9"/>
      <c r="I112" s="9">
        <f>((I108)+(I109))+(I110)</f>
        <v>1650</v>
      </c>
      <c r="J112" s="9"/>
      <c r="K112" s="9">
        <f t="shared" si="8"/>
        <v>500</v>
      </c>
      <c r="L112" s="9"/>
      <c r="M112" s="9"/>
    </row>
    <row r="113" spans="1:13" ht="18">
      <c r="A113" s="27" t="s">
        <v>92</v>
      </c>
      <c r="B113" s="3"/>
      <c r="C113" s="4"/>
      <c r="D113" s="4"/>
      <c r="F113" s="4"/>
      <c r="G113" s="4"/>
      <c r="H113" s="4"/>
      <c r="I113" s="4"/>
      <c r="J113" s="4"/>
      <c r="K113" s="4"/>
      <c r="L113" s="4"/>
      <c r="M113" s="4"/>
    </row>
    <row r="114" spans="1:13" ht="18">
      <c r="A114" s="3" t="s">
        <v>93</v>
      </c>
      <c r="B114" s="3"/>
      <c r="C114" s="4">
        <f>14000</f>
        <v>14000</v>
      </c>
      <c r="D114" s="4"/>
      <c r="E114" s="4">
        <f>15117</f>
        <v>15117</v>
      </c>
      <c r="F114" s="4"/>
      <c r="G114" s="4">
        <f>SUM(C114-E114)</f>
        <v>-1117</v>
      </c>
      <c r="H114" s="4"/>
      <c r="I114" s="4">
        <v>15250</v>
      </c>
      <c r="J114" s="4"/>
      <c r="K114" s="4">
        <f>SUM(I114-C114)</f>
        <v>1250</v>
      </c>
      <c r="L114" s="4"/>
      <c r="M114" s="4"/>
    </row>
    <row r="115" spans="1:13" s="1" customFormat="1" ht="40.5" customHeight="1">
      <c r="A115" s="8" t="s">
        <v>94</v>
      </c>
      <c r="B115" s="8"/>
      <c r="C115" s="9">
        <f>(C113)+(C114)</f>
        <v>14000</v>
      </c>
      <c r="D115" s="9"/>
      <c r="E115" s="9">
        <f>(E113)+(E114)</f>
        <v>15117</v>
      </c>
      <c r="F115" s="9"/>
      <c r="G115" s="9">
        <f>SUM(C115-E115)</f>
        <v>-1117</v>
      </c>
      <c r="H115" s="9"/>
      <c r="I115" s="9">
        <f>SUM(I114)</f>
        <v>15250</v>
      </c>
      <c r="J115" s="9"/>
      <c r="K115" s="4">
        <f>SUM(I115-C115)</f>
        <v>1250</v>
      </c>
      <c r="L115" s="9"/>
      <c r="M115" s="9"/>
    </row>
    <row r="116" spans="1:13" ht="18">
      <c r="A116" s="3" t="s">
        <v>95</v>
      </c>
      <c r="B116" s="3"/>
      <c r="C116" s="4"/>
      <c r="D116" s="4"/>
      <c r="F116" s="4"/>
      <c r="G116" s="4"/>
      <c r="H116" s="4"/>
      <c r="I116" s="4"/>
      <c r="J116" s="4"/>
      <c r="K116" s="4"/>
      <c r="L116" s="4"/>
      <c r="M116" s="4"/>
    </row>
    <row r="117" spans="1:13" ht="18">
      <c r="A117" s="3" t="s">
        <v>96</v>
      </c>
      <c r="B117" s="3"/>
      <c r="C117" s="4">
        <f>51000</f>
        <v>51000</v>
      </c>
      <c r="D117" s="4"/>
      <c r="E117" s="4">
        <f>39782.68</f>
        <v>39782.68</v>
      </c>
      <c r="F117" s="4"/>
      <c r="G117" s="4">
        <f>SUM(C117-E117)</f>
        <v>11217.32</v>
      </c>
      <c r="H117" s="4"/>
      <c r="I117" s="4">
        <v>41500</v>
      </c>
      <c r="J117" s="4"/>
      <c r="K117" s="4">
        <f>SUM(I117-C117)</f>
        <v>-9500</v>
      </c>
      <c r="L117" s="4"/>
      <c r="M117" s="4"/>
    </row>
    <row r="118" spans="1:13" ht="18">
      <c r="A118" s="3" t="s">
        <v>97</v>
      </c>
      <c r="B118" s="3"/>
      <c r="C118" s="4">
        <f>23200</f>
        <v>23200</v>
      </c>
      <c r="D118" s="4"/>
      <c r="E118" s="4">
        <f>22453.44</f>
        <v>22453.439999999999</v>
      </c>
      <c r="F118" s="4"/>
      <c r="G118" s="4">
        <f>SUM(C118-E118)</f>
        <v>746.56000000000131</v>
      </c>
      <c r="H118" s="4"/>
      <c r="I118" s="4">
        <v>23200</v>
      </c>
      <c r="J118" s="4"/>
      <c r="K118" s="4">
        <f>SUM(I118-C118)</f>
        <v>0</v>
      </c>
      <c r="L118" s="4"/>
      <c r="M118" s="4"/>
    </row>
    <row r="119" spans="1:13" ht="18">
      <c r="A119" s="3" t="s">
        <v>98</v>
      </c>
      <c r="B119" s="3"/>
      <c r="C119" s="4">
        <f>280</f>
        <v>280</v>
      </c>
      <c r="D119" s="4"/>
      <c r="E119" s="4">
        <f>277.44</f>
        <v>277.44</v>
      </c>
      <c r="F119" s="4"/>
      <c r="G119" s="4">
        <f>SUM(C119-E119)</f>
        <v>2.5600000000000023</v>
      </c>
      <c r="H119" s="4"/>
      <c r="I119" s="4">
        <v>280</v>
      </c>
      <c r="J119" s="4"/>
      <c r="K119" s="4">
        <f>SUM(I119-C119)</f>
        <v>0</v>
      </c>
      <c r="L119" s="4"/>
      <c r="M119" s="4"/>
    </row>
    <row r="120" spans="1:13" s="1" customFormat="1" ht="38.25" customHeight="1">
      <c r="A120" s="8" t="s">
        <v>99</v>
      </c>
      <c r="B120" s="8"/>
      <c r="C120" s="9">
        <f>(((C116)+(C117))+(C118))+(C119)</f>
        <v>74480</v>
      </c>
      <c r="D120" s="9"/>
      <c r="E120" s="9">
        <f>(((E116)+(E117))+(E118))+(E119)</f>
        <v>62513.56</v>
      </c>
      <c r="F120" s="9"/>
      <c r="G120" s="9">
        <f>SUM(C120-E120)</f>
        <v>11966.440000000002</v>
      </c>
      <c r="H120" s="9"/>
      <c r="I120" s="9">
        <f>(((I116)+(I117))+(I118))+(I119)</f>
        <v>64980</v>
      </c>
      <c r="J120" s="9"/>
      <c r="K120" s="4">
        <f>SUM(I120-C120)</f>
        <v>-9500</v>
      </c>
      <c r="L120" s="9"/>
      <c r="M120" s="9"/>
    </row>
    <row r="121" spans="1:13" ht="18">
      <c r="A121" s="3" t="s">
        <v>100</v>
      </c>
      <c r="B121" s="3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</row>
    <row r="122" spans="1:13" ht="18">
      <c r="A122" s="3" t="s">
        <v>101</v>
      </c>
      <c r="B122" s="3"/>
      <c r="C122" s="4">
        <f>4000</f>
        <v>4000</v>
      </c>
      <c r="D122" s="4"/>
      <c r="E122" s="4">
        <f>3161.93</f>
        <v>3161.93</v>
      </c>
      <c r="F122" s="4"/>
      <c r="G122" s="4">
        <f>SUM(C122-E122)</f>
        <v>838.07000000000016</v>
      </c>
      <c r="H122" s="4"/>
      <c r="I122" s="4">
        <v>4000</v>
      </c>
      <c r="J122" s="4"/>
      <c r="K122" s="4">
        <f>SUM(I122-C122)</f>
        <v>0</v>
      </c>
      <c r="L122" s="4"/>
      <c r="M122" s="4"/>
    </row>
    <row r="123" spans="1:13" ht="18">
      <c r="A123" s="3" t="s">
        <v>102</v>
      </c>
      <c r="B123" s="3"/>
      <c r="C123" s="4">
        <f>2000</f>
        <v>2000</v>
      </c>
      <c r="D123" s="4"/>
      <c r="E123" s="4">
        <f>2168.92</f>
        <v>2168.92</v>
      </c>
      <c r="F123" s="4"/>
      <c r="G123" s="4">
        <f>SUM(C123-E123)</f>
        <v>-168.92000000000007</v>
      </c>
      <c r="H123" s="4"/>
      <c r="I123" s="4">
        <v>2250</v>
      </c>
      <c r="J123" s="4"/>
      <c r="K123" s="4">
        <f>SUM(I123-C123)</f>
        <v>250</v>
      </c>
      <c r="L123" s="4"/>
      <c r="M123" s="4"/>
    </row>
    <row r="124" spans="1:13" ht="18">
      <c r="A124" s="3" t="s">
        <v>103</v>
      </c>
      <c r="B124" s="3"/>
      <c r="C124" s="4">
        <f>6000</f>
        <v>6000</v>
      </c>
      <c r="D124" s="4"/>
      <c r="E124" s="4">
        <f>8104.17</f>
        <v>8104.17</v>
      </c>
      <c r="F124" s="4"/>
      <c r="G124" s="4">
        <f>SUM(C124-E124)</f>
        <v>-2104.17</v>
      </c>
      <c r="H124" s="4"/>
      <c r="I124" s="4">
        <v>8500</v>
      </c>
      <c r="J124" s="4"/>
      <c r="K124" s="4">
        <f>SUM(I124-C124)</f>
        <v>2500</v>
      </c>
      <c r="L124" s="4"/>
      <c r="M124" s="4"/>
    </row>
    <row r="125" spans="1:13" s="1" customFormat="1" ht="35.25" customHeight="1">
      <c r="A125" s="8" t="s">
        <v>104</v>
      </c>
      <c r="B125" s="8"/>
      <c r="C125" s="9">
        <f>(((C121)+(C122))+(C123))+(C124)</f>
        <v>12000</v>
      </c>
      <c r="D125" s="9"/>
      <c r="E125" s="9">
        <f>(((E121)+(E122))+(E123))+(E124)</f>
        <v>13435.02</v>
      </c>
      <c r="F125" s="9"/>
      <c r="G125" s="9">
        <f>SUM(C125-E125)</f>
        <v>-1435.0200000000004</v>
      </c>
      <c r="H125" s="9"/>
      <c r="I125" s="9">
        <f>(((I121)+(I122))+(I123))+(I124)</f>
        <v>14750</v>
      </c>
      <c r="J125" s="9"/>
      <c r="K125" s="4">
        <f>SUM(I125-C125)</f>
        <v>2750</v>
      </c>
      <c r="L125" s="9"/>
      <c r="M125" s="9"/>
    </row>
    <row r="126" spans="1:13" ht="18">
      <c r="A126" s="3" t="s">
        <v>105</v>
      </c>
      <c r="B126" s="3"/>
      <c r="C126" s="4">
        <f>6000</f>
        <v>6000</v>
      </c>
      <c r="D126" s="4"/>
      <c r="E126" s="4">
        <f>5275.74</f>
        <v>5275.74</v>
      </c>
      <c r="F126" s="4"/>
      <c r="G126" s="4">
        <f>SUM(C126-E126)</f>
        <v>724.26000000000022</v>
      </c>
      <c r="H126" s="4"/>
      <c r="I126" s="4">
        <v>8000</v>
      </c>
      <c r="J126" s="4"/>
      <c r="K126" s="4">
        <f>SUM(I126-C126)</f>
        <v>2000</v>
      </c>
      <c r="L126" s="4"/>
      <c r="M126" s="4"/>
    </row>
    <row r="127" spans="1:13" ht="18">
      <c r="A127" s="16" t="s">
        <v>106</v>
      </c>
      <c r="B127" s="16"/>
      <c r="C127" s="17"/>
      <c r="D127" s="17"/>
      <c r="E127" s="4"/>
      <c r="F127" s="17"/>
      <c r="G127" s="17"/>
      <c r="H127" s="17"/>
      <c r="I127" s="17"/>
      <c r="J127" s="17"/>
      <c r="K127" s="17"/>
      <c r="L127" s="4"/>
      <c r="M127" s="4"/>
    </row>
    <row r="128" spans="1:13" ht="18">
      <c r="A128" s="13" t="s">
        <v>107</v>
      </c>
      <c r="B128" s="13"/>
      <c r="C128" s="12">
        <f>750</f>
        <v>750</v>
      </c>
      <c r="D128" s="12"/>
      <c r="E128" s="4">
        <f>40.25</f>
        <v>40.25</v>
      </c>
      <c r="F128" s="12"/>
      <c r="G128" s="12">
        <f t="shared" ref="G128:G139" si="9">SUM(C128-E128)</f>
        <v>709.75</v>
      </c>
      <c r="H128" s="12"/>
      <c r="I128" s="12">
        <v>1500</v>
      </c>
      <c r="J128" s="12"/>
      <c r="K128" s="12">
        <f>SUM(I128-C128)</f>
        <v>750</v>
      </c>
      <c r="L128" s="4"/>
      <c r="M128" s="4"/>
    </row>
    <row r="129" spans="1:13" ht="18">
      <c r="A129" s="13" t="s">
        <v>108</v>
      </c>
      <c r="B129" s="13"/>
      <c r="C129" s="12">
        <f>3500</f>
        <v>3500</v>
      </c>
      <c r="D129" s="12"/>
      <c r="E129" s="4">
        <f>1551.96</f>
        <v>1551.96</v>
      </c>
      <c r="F129" s="12"/>
      <c r="G129" s="12">
        <f t="shared" si="9"/>
        <v>1948.04</v>
      </c>
      <c r="H129" s="12"/>
      <c r="I129" s="12">
        <v>10000</v>
      </c>
      <c r="J129" s="12"/>
      <c r="K129" s="12">
        <f>SUM(I129-C129)</f>
        <v>6500</v>
      </c>
      <c r="L129" s="4"/>
      <c r="M129" s="4"/>
    </row>
    <row r="130" spans="1:13" s="1" customFormat="1" ht="33.75" customHeight="1">
      <c r="A130" s="14" t="s">
        <v>109</v>
      </c>
      <c r="B130" s="14"/>
      <c r="C130" s="15">
        <f>((C127)+(C128))+(C129)</f>
        <v>4250</v>
      </c>
      <c r="D130" s="15"/>
      <c r="E130" s="9">
        <f>((E127)+(E128))+(E129)</f>
        <v>1592.21</v>
      </c>
      <c r="F130" s="15"/>
      <c r="G130" s="15">
        <f t="shared" si="9"/>
        <v>2657.79</v>
      </c>
      <c r="H130" s="15"/>
      <c r="I130" s="15">
        <f>SUM(I128:I129)</f>
        <v>11500</v>
      </c>
      <c r="J130" s="15"/>
      <c r="K130" s="37">
        <f>SUM(I130-C130)</f>
        <v>7250</v>
      </c>
      <c r="L130" s="9"/>
      <c r="M130" s="9"/>
    </row>
    <row r="131" spans="1:13" ht="18">
      <c r="A131" s="3" t="s">
        <v>110</v>
      </c>
      <c r="B131" s="3"/>
      <c r="C131" s="4">
        <f>3000</f>
        <v>3000</v>
      </c>
      <c r="D131" s="4"/>
      <c r="E131" s="4">
        <f>2727.45</f>
        <v>2727.45</v>
      </c>
      <c r="F131" s="4"/>
      <c r="G131" s="4">
        <f t="shared" si="9"/>
        <v>272.55000000000018</v>
      </c>
      <c r="H131" s="4"/>
      <c r="I131" s="4">
        <v>3000</v>
      </c>
      <c r="J131" s="4"/>
      <c r="K131" s="4">
        <f>SUM(I131-C131)</f>
        <v>0</v>
      </c>
      <c r="L131" s="4"/>
      <c r="M131" s="4"/>
    </row>
    <row r="132" spans="1:13" ht="18">
      <c r="A132" s="3" t="s">
        <v>111</v>
      </c>
      <c r="B132" s="3"/>
      <c r="C132" s="4">
        <f>1281.05</f>
        <v>1281.05</v>
      </c>
      <c r="D132" s="4"/>
      <c r="E132" s="4">
        <f>3485.79</f>
        <v>3485.79</v>
      </c>
      <c r="F132" s="4"/>
      <c r="G132" s="4">
        <f t="shared" si="9"/>
        <v>-2204.7399999999998</v>
      </c>
      <c r="H132" s="4"/>
      <c r="I132" s="12">
        <v>841.67</v>
      </c>
      <c r="J132" s="4"/>
      <c r="K132" s="4">
        <f>SUM(I132-C132)</f>
        <v>-439.38</v>
      </c>
      <c r="L132" s="4"/>
      <c r="M132" s="4"/>
    </row>
    <row r="133" spans="1:13" ht="47.25" customHeight="1">
      <c r="A133" s="3" t="s">
        <v>112</v>
      </c>
      <c r="B133" s="3"/>
      <c r="C133" s="4"/>
      <c r="D133" s="4"/>
      <c r="E133" s="4">
        <f>2000</f>
        <v>2000</v>
      </c>
      <c r="F133" s="4"/>
      <c r="G133" s="4">
        <f t="shared" si="9"/>
        <v>-2000</v>
      </c>
      <c r="H133" s="4"/>
      <c r="I133" s="4"/>
      <c r="J133" s="4"/>
      <c r="K133" s="4"/>
      <c r="L133" s="4"/>
      <c r="M133" s="4" t="s">
        <v>182</v>
      </c>
    </row>
    <row r="134" spans="1:13" ht="18">
      <c r="A134" s="3" t="s">
        <v>113</v>
      </c>
      <c r="B134" s="3"/>
      <c r="C134" s="4">
        <f>348022.79</f>
        <v>348022.79</v>
      </c>
      <c r="D134" s="4"/>
      <c r="E134" s="4">
        <f>331023</f>
        <v>331023</v>
      </c>
      <c r="F134" s="4"/>
      <c r="G134" s="4">
        <f t="shared" si="9"/>
        <v>16999.789999999979</v>
      </c>
      <c r="H134" s="4"/>
      <c r="I134" s="4">
        <f>348022.79</f>
        <v>348022.79</v>
      </c>
      <c r="J134" s="4"/>
      <c r="K134" s="4">
        <f>SUM(I134-C134)</f>
        <v>0</v>
      </c>
      <c r="L134" s="4"/>
      <c r="M134" s="4"/>
    </row>
    <row r="135" spans="1:13" ht="18">
      <c r="A135" s="3" t="s">
        <v>114</v>
      </c>
      <c r="B135" s="3"/>
      <c r="C135" s="4">
        <f>3828.25</f>
        <v>3828.25</v>
      </c>
      <c r="D135" s="4"/>
      <c r="E135" s="4">
        <f>1826.33</f>
        <v>1826.33</v>
      </c>
      <c r="F135" s="4"/>
      <c r="G135" s="4">
        <f t="shared" si="9"/>
        <v>2001.92</v>
      </c>
      <c r="H135" s="4"/>
      <c r="I135" s="4">
        <f>3828.25</f>
        <v>3828.25</v>
      </c>
      <c r="J135" s="4"/>
      <c r="K135" s="4">
        <f t="shared" ref="K135:K139" si="10">SUM(I135-C135)</f>
        <v>0</v>
      </c>
      <c r="L135" s="4"/>
      <c r="M135" s="4"/>
    </row>
    <row r="136" spans="1:13" ht="18">
      <c r="A136" s="3" t="s">
        <v>115</v>
      </c>
      <c r="B136" s="3"/>
      <c r="C136" s="4">
        <f>32888.15</f>
        <v>32888.15</v>
      </c>
      <c r="D136" s="4"/>
      <c r="E136" s="4">
        <f>29955.45</f>
        <v>29955.45</v>
      </c>
      <c r="F136" s="4"/>
      <c r="G136" s="4">
        <f t="shared" si="9"/>
        <v>2932.7000000000007</v>
      </c>
      <c r="H136" s="4"/>
      <c r="I136" s="4">
        <f>32888.15</f>
        <v>32888.15</v>
      </c>
      <c r="J136" s="4"/>
      <c r="K136" s="4">
        <f t="shared" si="10"/>
        <v>0</v>
      </c>
      <c r="L136" s="4"/>
      <c r="M136" s="4"/>
    </row>
    <row r="137" spans="1:13" ht="18">
      <c r="A137" s="3" t="s">
        <v>116</v>
      </c>
      <c r="B137" s="3"/>
      <c r="C137" s="4">
        <f>13307.87</f>
        <v>13307.87</v>
      </c>
      <c r="D137" s="4"/>
      <c r="E137" s="4">
        <f>12854.65</f>
        <v>12854.65</v>
      </c>
      <c r="F137" s="4"/>
      <c r="G137" s="4">
        <f t="shared" si="9"/>
        <v>453.22000000000116</v>
      </c>
      <c r="H137" s="4"/>
      <c r="I137" s="4">
        <f>13307.87</f>
        <v>13307.87</v>
      </c>
      <c r="J137" s="4"/>
      <c r="K137" s="4">
        <f t="shared" si="10"/>
        <v>0</v>
      </c>
      <c r="L137" s="4"/>
      <c r="M137" s="4"/>
    </row>
    <row r="138" spans="1:13" ht="18">
      <c r="A138" s="3" t="s">
        <v>117</v>
      </c>
      <c r="B138" s="3"/>
      <c r="C138" s="4">
        <f>112852.8</f>
        <v>112852.8</v>
      </c>
      <c r="D138" s="4"/>
      <c r="E138" s="4">
        <f>107872.7</f>
        <v>107872.7</v>
      </c>
      <c r="F138" s="4"/>
      <c r="G138" s="4">
        <f t="shared" si="9"/>
        <v>4980.1000000000058</v>
      </c>
      <c r="H138" s="4"/>
      <c r="I138" s="4">
        <f>112852.8</f>
        <v>112852.8</v>
      </c>
      <c r="J138" s="4"/>
      <c r="K138" s="4">
        <f t="shared" si="10"/>
        <v>0</v>
      </c>
      <c r="L138" s="4"/>
      <c r="M138" s="4"/>
    </row>
    <row r="139" spans="1:13" s="1" customFormat="1" ht="18">
      <c r="A139" s="8" t="s">
        <v>118</v>
      </c>
      <c r="B139" s="8"/>
      <c r="C139" s="9">
        <f>(((((C133)+(C134))+(C135))+(C136))+(C137))+(C138)</f>
        <v>510899.86</v>
      </c>
      <c r="D139" s="9"/>
      <c r="E139" s="9">
        <f>(((((E133)+(E134))+(E135))+(E136))+(E137))+(E138)</f>
        <v>485532.13000000006</v>
      </c>
      <c r="F139" s="9"/>
      <c r="G139" s="9">
        <f t="shared" si="9"/>
        <v>25367.729999999923</v>
      </c>
      <c r="H139" s="9"/>
      <c r="I139" s="9">
        <f>(((((I133)+(I134))+(I135))+(I136))+(I137))+(I138)</f>
        <v>510899.86</v>
      </c>
      <c r="J139" s="9"/>
      <c r="K139" s="4">
        <f t="shared" si="10"/>
        <v>0</v>
      </c>
      <c r="L139" s="9"/>
      <c r="M139" s="9"/>
    </row>
    <row r="140" spans="1:13" ht="36.75" customHeight="1">
      <c r="A140" s="3" t="s">
        <v>119</v>
      </c>
      <c r="B140" s="3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</row>
    <row r="141" spans="1:13" ht="18">
      <c r="A141" s="3" t="s">
        <v>120</v>
      </c>
      <c r="B141" s="3"/>
      <c r="C141" s="4">
        <f>17500</f>
        <v>17500</v>
      </c>
      <c r="D141" s="4"/>
      <c r="E141" s="4">
        <f>17800</f>
        <v>17800</v>
      </c>
      <c r="F141" s="4"/>
      <c r="G141" s="4">
        <f>SUM(C141-E141)</f>
        <v>-300</v>
      </c>
      <c r="H141" s="4"/>
      <c r="I141" s="4">
        <v>18000</v>
      </c>
      <c r="J141" s="4"/>
      <c r="K141" s="4">
        <f>SUM(I141-C141)</f>
        <v>500</v>
      </c>
      <c r="L141" s="4"/>
      <c r="M141" s="4"/>
    </row>
    <row r="142" spans="1:13" ht="18">
      <c r="A142" s="3" t="s">
        <v>121</v>
      </c>
      <c r="B142" s="3"/>
      <c r="C142" s="4">
        <f>400</f>
        <v>400</v>
      </c>
      <c r="D142" s="4"/>
      <c r="E142" s="4">
        <f>400</f>
        <v>400</v>
      </c>
      <c r="F142" s="4"/>
      <c r="G142" s="4">
        <f>SUM(C142-E142)</f>
        <v>0</v>
      </c>
      <c r="H142" s="4"/>
      <c r="I142" s="4">
        <v>400</v>
      </c>
      <c r="J142" s="4"/>
      <c r="K142" s="4">
        <f>SUM(I142-C142)</f>
        <v>0</v>
      </c>
      <c r="L142" s="4"/>
      <c r="M142" s="4"/>
    </row>
    <row r="143" spans="1:13" s="1" customFormat="1" ht="34.5" customHeight="1">
      <c r="A143" s="8" t="s">
        <v>122</v>
      </c>
      <c r="B143" s="8"/>
      <c r="C143" s="9">
        <f>((C140)+(C141))+(C142)</f>
        <v>17900</v>
      </c>
      <c r="D143" s="9"/>
      <c r="E143" s="9">
        <f>((E140)+(E141))+(E142)</f>
        <v>18200</v>
      </c>
      <c r="F143" s="9"/>
      <c r="G143" s="9">
        <f>SUM(C143-E143)</f>
        <v>-300</v>
      </c>
      <c r="H143" s="9"/>
      <c r="I143" s="9">
        <f>SUM(I141:I142)</f>
        <v>18400</v>
      </c>
      <c r="J143" s="9"/>
      <c r="K143" s="4">
        <f>SUM(I143-C143)</f>
        <v>500</v>
      </c>
      <c r="L143" s="9"/>
      <c r="M143" s="9"/>
    </row>
    <row r="144" spans="1:13" ht="18">
      <c r="A144" s="3" t="s">
        <v>123</v>
      </c>
      <c r="B144" s="3"/>
      <c r="C144" s="4">
        <f>1000</f>
        <v>1000</v>
      </c>
      <c r="D144" s="4"/>
      <c r="E144" s="4">
        <f>489.46</f>
        <v>489.46</v>
      </c>
      <c r="F144" s="4"/>
      <c r="G144" s="4">
        <f>SUM(C144-E144)</f>
        <v>510.54</v>
      </c>
      <c r="H144" s="4"/>
      <c r="I144" s="4">
        <v>2500</v>
      </c>
      <c r="J144" s="4"/>
      <c r="K144" s="4">
        <f>SUM(I144-C144)</f>
        <v>1500</v>
      </c>
      <c r="L144" s="4"/>
      <c r="M144" s="4"/>
    </row>
    <row r="145" spans="1:13" ht="18">
      <c r="A145" s="3" t="s">
        <v>124</v>
      </c>
      <c r="B145" s="3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</row>
    <row r="146" spans="1:13" ht="18">
      <c r="A146" s="3" t="s">
        <v>125</v>
      </c>
      <c r="B146" s="3"/>
      <c r="C146" s="4">
        <f>75</f>
        <v>75</v>
      </c>
      <c r="D146" s="4"/>
      <c r="E146" s="4">
        <f>39.5</f>
        <v>39.5</v>
      </c>
      <c r="F146" s="4"/>
      <c r="G146" s="4">
        <f t="shared" ref="G146:G155" si="11">SUM(C146-E146)</f>
        <v>35.5</v>
      </c>
      <c r="H146" s="4"/>
      <c r="I146" s="4">
        <f>75</f>
        <v>75</v>
      </c>
      <c r="J146" s="4"/>
      <c r="K146" s="4">
        <f t="shared" ref="K146:K155" si="12">SUM(I146-C146)</f>
        <v>0</v>
      </c>
      <c r="L146" s="4"/>
      <c r="M146" s="4"/>
    </row>
    <row r="147" spans="1:13" ht="18">
      <c r="A147" s="3" t="s">
        <v>126</v>
      </c>
      <c r="B147" s="3"/>
      <c r="C147" s="4">
        <f>2750</f>
        <v>2750</v>
      </c>
      <c r="D147" s="4"/>
      <c r="E147" s="4">
        <f>2614.1</f>
        <v>2614.1</v>
      </c>
      <c r="F147" s="4"/>
      <c r="G147" s="4">
        <f t="shared" si="11"/>
        <v>135.90000000000009</v>
      </c>
      <c r="H147" s="4"/>
      <c r="I147" s="4">
        <f>2750</f>
        <v>2750</v>
      </c>
      <c r="J147" s="4"/>
      <c r="K147" s="4">
        <f t="shared" si="12"/>
        <v>0</v>
      </c>
      <c r="L147" s="4"/>
      <c r="M147" s="4"/>
    </row>
    <row r="148" spans="1:13" ht="18">
      <c r="A148" s="3" t="s">
        <v>127</v>
      </c>
      <c r="B148" s="3"/>
      <c r="C148" s="4">
        <f>3500</f>
        <v>3500</v>
      </c>
      <c r="D148" s="4"/>
      <c r="E148" s="4">
        <f>3327.25</f>
        <v>3327.25</v>
      </c>
      <c r="F148" s="4"/>
      <c r="G148" s="4">
        <f t="shared" si="11"/>
        <v>172.75</v>
      </c>
      <c r="H148" s="4"/>
      <c r="I148" s="4">
        <f>3500</f>
        <v>3500</v>
      </c>
      <c r="J148" s="4"/>
      <c r="K148" s="4">
        <f t="shared" si="12"/>
        <v>0</v>
      </c>
      <c r="L148" s="4"/>
      <c r="M148" s="4"/>
    </row>
    <row r="149" spans="1:13" ht="18">
      <c r="A149" s="3" t="s">
        <v>128</v>
      </c>
      <c r="B149" s="3"/>
      <c r="C149" s="4">
        <f>150</f>
        <v>150</v>
      </c>
      <c r="D149" s="4"/>
      <c r="E149" s="4">
        <f>6.61</f>
        <v>6.61</v>
      </c>
      <c r="F149" s="4"/>
      <c r="G149" s="4">
        <f t="shared" si="11"/>
        <v>143.38999999999999</v>
      </c>
      <c r="H149" s="4"/>
      <c r="I149" s="4">
        <f>150</f>
        <v>150</v>
      </c>
      <c r="J149" s="4"/>
      <c r="K149" s="4">
        <f t="shared" si="12"/>
        <v>0</v>
      </c>
      <c r="L149" s="4"/>
      <c r="M149" s="4"/>
    </row>
    <row r="150" spans="1:13" ht="18">
      <c r="A150" s="3" t="s">
        <v>129</v>
      </c>
      <c r="B150" s="3"/>
      <c r="C150" s="4">
        <f>50</f>
        <v>50</v>
      </c>
      <c r="D150" s="4"/>
      <c r="E150" s="4">
        <v>0</v>
      </c>
      <c r="F150" s="4"/>
      <c r="G150" s="4">
        <f t="shared" si="11"/>
        <v>50</v>
      </c>
      <c r="H150" s="4"/>
      <c r="I150" s="4">
        <f>50</f>
        <v>50</v>
      </c>
      <c r="J150" s="4"/>
      <c r="K150" s="4">
        <f t="shared" si="12"/>
        <v>0</v>
      </c>
      <c r="L150" s="4"/>
      <c r="M150" s="4"/>
    </row>
    <row r="151" spans="1:13" ht="18">
      <c r="A151" s="3" t="s">
        <v>130</v>
      </c>
      <c r="B151" s="3"/>
      <c r="C151" s="4">
        <f>1200</f>
        <v>1200</v>
      </c>
      <c r="D151" s="4"/>
      <c r="E151" s="4">
        <f>1084.15</f>
        <v>1084.1500000000001</v>
      </c>
      <c r="F151" s="4"/>
      <c r="G151" s="4">
        <f t="shared" si="11"/>
        <v>115.84999999999991</v>
      </c>
      <c r="H151" s="4"/>
      <c r="I151" s="4">
        <f>1200</f>
        <v>1200</v>
      </c>
      <c r="J151" s="4"/>
      <c r="K151" s="4">
        <f t="shared" si="12"/>
        <v>0</v>
      </c>
      <c r="L151" s="4"/>
      <c r="M151" s="4"/>
    </row>
    <row r="152" spans="1:13" s="1" customFormat="1" ht="27" customHeight="1">
      <c r="A152" s="8" t="s">
        <v>131</v>
      </c>
      <c r="B152" s="8"/>
      <c r="C152" s="9">
        <f>((((((C145)+(C146))+(C147))+(C148))+(C149))+(C150))+(C151)</f>
        <v>7725</v>
      </c>
      <c r="D152" s="9"/>
      <c r="E152" s="9">
        <f>(((((E146)+(E147))+(E148))+(E149))+(E150))+(E151)</f>
        <v>7071.6100000000006</v>
      </c>
      <c r="F152" s="9"/>
      <c r="G152" s="9">
        <f t="shared" si="11"/>
        <v>653.38999999999942</v>
      </c>
      <c r="H152" s="9"/>
      <c r="I152" s="9">
        <f>((((((I145)+(I146))+(I147))+(I148))+(I149))+(I150))+(I151)</f>
        <v>7725</v>
      </c>
      <c r="J152" s="9"/>
      <c r="K152" s="4">
        <f t="shared" si="12"/>
        <v>0</v>
      </c>
      <c r="L152" s="9"/>
      <c r="M152" s="9"/>
    </row>
    <row r="153" spans="1:13" ht="18">
      <c r="A153" s="3" t="s">
        <v>132</v>
      </c>
      <c r="B153" s="3"/>
      <c r="C153" s="4">
        <f>1500</f>
        <v>1500</v>
      </c>
      <c r="D153" s="4"/>
      <c r="E153" s="4">
        <f>2244.25</f>
        <v>2244.25</v>
      </c>
      <c r="F153" s="4"/>
      <c r="G153" s="4">
        <f t="shared" si="11"/>
        <v>-744.25</v>
      </c>
      <c r="H153" s="4"/>
      <c r="I153" s="4">
        <v>2250</v>
      </c>
      <c r="J153" s="4"/>
      <c r="K153" s="4">
        <f t="shared" si="12"/>
        <v>750</v>
      </c>
      <c r="L153" s="4"/>
      <c r="M153" s="4"/>
    </row>
    <row r="154" spans="1:13" ht="18">
      <c r="A154" s="3" t="s">
        <v>133</v>
      </c>
      <c r="B154" s="3"/>
      <c r="C154" s="4">
        <f>7500</f>
        <v>7500</v>
      </c>
      <c r="D154" s="4"/>
      <c r="E154" s="4">
        <f>10629.91</f>
        <v>10629.91</v>
      </c>
      <c r="F154" s="4"/>
      <c r="G154" s="4">
        <f t="shared" si="11"/>
        <v>-3129.91</v>
      </c>
      <c r="H154" s="4"/>
      <c r="I154" s="4">
        <v>11500</v>
      </c>
      <c r="J154" s="4"/>
      <c r="K154" s="37">
        <f t="shared" si="12"/>
        <v>4000</v>
      </c>
      <c r="L154" s="4"/>
      <c r="M154" s="4"/>
    </row>
    <row r="155" spans="1:13" ht="18">
      <c r="A155" s="3" t="s">
        <v>134</v>
      </c>
      <c r="B155" s="3"/>
      <c r="C155" s="4">
        <f>6000</f>
        <v>6000</v>
      </c>
      <c r="D155" s="4"/>
      <c r="E155" s="4">
        <f>3870.16</f>
        <v>3870.16</v>
      </c>
      <c r="F155" s="4"/>
      <c r="G155" s="4">
        <f t="shared" si="11"/>
        <v>2129.84</v>
      </c>
      <c r="H155" s="4"/>
      <c r="I155" s="4">
        <v>6000</v>
      </c>
      <c r="J155" s="4"/>
      <c r="K155" s="4">
        <f t="shared" si="12"/>
        <v>0</v>
      </c>
      <c r="L155" s="4"/>
      <c r="M155" s="4"/>
    </row>
    <row r="156" spans="1:13" ht="18">
      <c r="A156" s="3" t="s">
        <v>135</v>
      </c>
      <c r="B156" s="3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</row>
    <row r="157" spans="1:13" ht="18">
      <c r="A157" s="3" t="s">
        <v>136</v>
      </c>
      <c r="B157" s="3"/>
      <c r="C157" s="4">
        <f>10</f>
        <v>10</v>
      </c>
      <c r="D157" s="4"/>
      <c r="E157" s="4">
        <f>10</f>
        <v>10</v>
      </c>
      <c r="F157" s="4"/>
      <c r="G157" s="4">
        <f>SUM(C157-E157)</f>
        <v>0</v>
      </c>
      <c r="H157" s="4"/>
      <c r="I157" s="4">
        <v>10</v>
      </c>
      <c r="J157" s="4"/>
      <c r="K157" s="4">
        <f t="shared" ref="K157:K167" si="13">SUM(I157-C157)</f>
        <v>0</v>
      </c>
      <c r="L157" s="4"/>
      <c r="M157" s="4"/>
    </row>
    <row r="158" spans="1:13" ht="18">
      <c r="A158" s="3" t="s">
        <v>137</v>
      </c>
      <c r="B158" s="3"/>
      <c r="C158" s="4">
        <f>1200</f>
        <v>1200</v>
      </c>
      <c r="D158" s="4"/>
      <c r="E158" s="4">
        <f>1200</f>
        <v>1200</v>
      </c>
      <c r="F158" s="4"/>
      <c r="G158" s="4">
        <f>SUM(C158-E158)</f>
        <v>0</v>
      </c>
      <c r="H158" s="4"/>
      <c r="I158" s="4">
        <v>1200</v>
      </c>
      <c r="J158" s="4"/>
      <c r="K158" s="4">
        <f t="shared" si="13"/>
        <v>0</v>
      </c>
      <c r="L158" s="4"/>
      <c r="M158" s="4"/>
    </row>
    <row r="159" spans="1:13" s="1" customFormat="1" ht="35.25" customHeight="1">
      <c r="A159" s="8" t="s">
        <v>138</v>
      </c>
      <c r="B159" s="8"/>
      <c r="C159" s="9">
        <f>((C156)+(C157))+(C158)</f>
        <v>1210</v>
      </c>
      <c r="D159" s="9"/>
      <c r="E159" s="9">
        <f>((E156)+(E157))+(E158)</f>
        <v>1210</v>
      </c>
      <c r="F159" s="9"/>
      <c r="G159" s="9">
        <f>SUM(C159-E159)</f>
        <v>0</v>
      </c>
      <c r="H159" s="9"/>
      <c r="I159" s="9">
        <f>((I156)+(I157))+(I158)</f>
        <v>1210</v>
      </c>
      <c r="J159" s="9"/>
      <c r="K159" s="4">
        <f t="shared" si="13"/>
        <v>0</v>
      </c>
      <c r="L159" s="9"/>
      <c r="M159" s="9"/>
    </row>
    <row r="160" spans="1:13" ht="18">
      <c r="A160" s="3" t="s">
        <v>139</v>
      </c>
      <c r="B160" s="3"/>
      <c r="C160" s="4">
        <f>6000</f>
        <v>6000</v>
      </c>
      <c r="D160" s="4"/>
      <c r="E160" s="4">
        <v>6402.33</v>
      </c>
      <c r="F160" s="4"/>
      <c r="G160" s="4">
        <f>SUM(C160-E160)</f>
        <v>-402.32999999999993</v>
      </c>
      <c r="H160" s="4"/>
      <c r="I160" s="4">
        <v>6500</v>
      </c>
      <c r="J160" s="4"/>
      <c r="K160" s="4">
        <f t="shared" si="13"/>
        <v>500</v>
      </c>
      <c r="L160" s="4"/>
      <c r="M160" s="4"/>
    </row>
    <row r="161" spans="1:13" ht="18">
      <c r="A161" s="3" t="s">
        <v>140</v>
      </c>
      <c r="B161" s="3"/>
      <c r="C161" s="4">
        <f>154</f>
        <v>154</v>
      </c>
      <c r="D161" s="4"/>
      <c r="E161" s="4">
        <v>179</v>
      </c>
      <c r="F161" s="4"/>
      <c r="G161" s="4">
        <f>SUM(C161-E161)</f>
        <v>-25</v>
      </c>
      <c r="H161" s="4"/>
      <c r="I161" s="4">
        <v>175</v>
      </c>
      <c r="J161" s="4"/>
      <c r="K161" s="4">
        <f t="shared" si="13"/>
        <v>21</v>
      </c>
      <c r="L161" s="4"/>
      <c r="M161" s="4"/>
    </row>
    <row r="162" spans="1:13" ht="36">
      <c r="A162" s="13" t="s">
        <v>181</v>
      </c>
      <c r="B162" s="13"/>
      <c r="C162" s="12">
        <v>0</v>
      </c>
      <c r="D162" s="12"/>
      <c r="E162" s="4">
        <v>0</v>
      </c>
      <c r="F162" s="12"/>
      <c r="G162" s="12">
        <v>0</v>
      </c>
      <c r="H162" s="12"/>
      <c r="I162" s="17">
        <v>7750</v>
      </c>
      <c r="J162" s="12"/>
      <c r="K162" s="37">
        <f t="shared" si="13"/>
        <v>7750</v>
      </c>
      <c r="L162" s="4"/>
      <c r="M162" s="42" t="s">
        <v>216</v>
      </c>
    </row>
    <row r="163" spans="1:13" ht="18">
      <c r="A163" s="3" t="s">
        <v>141</v>
      </c>
      <c r="B163" s="3"/>
      <c r="C163" s="4">
        <f>250</f>
        <v>250</v>
      </c>
      <c r="D163" s="4"/>
      <c r="E163" s="4">
        <v>747</v>
      </c>
      <c r="F163" s="4"/>
      <c r="G163" s="4">
        <f>SUM(C163-E163)</f>
        <v>-497</v>
      </c>
      <c r="H163" s="4"/>
      <c r="I163" s="4">
        <v>750</v>
      </c>
      <c r="J163" s="4"/>
      <c r="K163" s="4">
        <f t="shared" si="13"/>
        <v>500</v>
      </c>
      <c r="L163" s="4"/>
      <c r="M163" s="4"/>
    </row>
    <row r="164" spans="1:13" ht="18">
      <c r="A164" s="3" t="s">
        <v>142</v>
      </c>
      <c r="B164" s="3"/>
      <c r="C164" s="4"/>
      <c r="D164" s="4"/>
      <c r="E164" s="4"/>
      <c r="F164" s="4"/>
      <c r="G164" s="4"/>
      <c r="H164" s="4"/>
      <c r="I164" s="4"/>
      <c r="J164" s="4"/>
      <c r="K164" s="4">
        <f t="shared" si="13"/>
        <v>0</v>
      </c>
      <c r="L164" s="4"/>
      <c r="M164" s="4"/>
    </row>
    <row r="165" spans="1:13" ht="18">
      <c r="A165" s="3" t="s">
        <v>143</v>
      </c>
      <c r="B165" s="3"/>
      <c r="C165" s="4">
        <f>11500</f>
        <v>11500</v>
      </c>
      <c r="D165" s="4"/>
      <c r="E165" s="4">
        <f>13284.25</f>
        <v>13284.25</v>
      </c>
      <c r="F165" s="4"/>
      <c r="G165" s="4">
        <f>SUM(C165-E165)</f>
        <v>-1784.25</v>
      </c>
      <c r="H165" s="4"/>
      <c r="I165" s="4">
        <v>13250</v>
      </c>
      <c r="J165" s="4"/>
      <c r="K165" s="4">
        <f t="shared" si="13"/>
        <v>1750</v>
      </c>
      <c r="L165" s="4"/>
      <c r="M165" s="4"/>
    </row>
    <row r="166" spans="1:13" s="1" customFormat="1" ht="30" customHeight="1">
      <c r="A166" s="8" t="s">
        <v>144</v>
      </c>
      <c r="B166" s="8"/>
      <c r="C166" s="9">
        <f>(C164)+(C165)</f>
        <v>11500</v>
      </c>
      <c r="D166" s="9"/>
      <c r="E166" s="9">
        <f>(E164)+(E165)</f>
        <v>13284.25</v>
      </c>
      <c r="F166" s="9"/>
      <c r="G166" s="4">
        <f>SUM(C166-E166)</f>
        <v>-1784.25</v>
      </c>
      <c r="H166" s="9"/>
      <c r="I166" s="9">
        <f>(I164)+(I165)</f>
        <v>13250</v>
      </c>
      <c r="J166" s="9"/>
      <c r="K166" s="4">
        <f t="shared" si="13"/>
        <v>1750</v>
      </c>
      <c r="L166" s="9"/>
      <c r="M166" s="9"/>
    </row>
    <row r="167" spans="1:13" ht="18">
      <c r="A167" s="3" t="s">
        <v>145</v>
      </c>
      <c r="B167" s="3"/>
      <c r="C167" s="4">
        <f>1500</f>
        <v>1500</v>
      </c>
      <c r="D167" s="4"/>
      <c r="E167" s="4">
        <v>3281.16</v>
      </c>
      <c r="F167" s="4"/>
      <c r="G167" s="4">
        <f>SUM(C167-E167)</f>
        <v>-1781.1599999999999</v>
      </c>
      <c r="H167" s="4"/>
      <c r="I167" s="4">
        <v>3250</v>
      </c>
      <c r="J167" s="4"/>
      <c r="K167" s="4">
        <f t="shared" si="13"/>
        <v>1750</v>
      </c>
      <c r="L167" s="4"/>
      <c r="M167" s="4"/>
    </row>
    <row r="168" spans="1:13" ht="18">
      <c r="A168" s="3" t="s">
        <v>146</v>
      </c>
      <c r="B168" s="3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</row>
    <row r="169" spans="1:13" ht="18">
      <c r="A169" s="13" t="s">
        <v>147</v>
      </c>
      <c r="B169" s="13"/>
      <c r="C169" s="12">
        <f>750</f>
        <v>750</v>
      </c>
      <c r="D169" s="12"/>
      <c r="E169" s="4">
        <f>1423.47</f>
        <v>1423.47</v>
      </c>
      <c r="F169" s="12"/>
      <c r="G169" s="12">
        <f>SUM(C169-E169)</f>
        <v>-673.47</v>
      </c>
      <c r="H169" s="12"/>
      <c r="I169" s="12">
        <v>1500</v>
      </c>
      <c r="J169" s="12"/>
      <c r="K169" s="12">
        <f t="shared" ref="K169:K174" si="14">SUM(I169-C169)</f>
        <v>750</v>
      </c>
      <c r="L169" s="4"/>
      <c r="M169" s="4"/>
    </row>
    <row r="170" spans="1:13" ht="18">
      <c r="A170" s="3" t="s">
        <v>148</v>
      </c>
      <c r="B170" s="3"/>
      <c r="C170" s="4">
        <f>5000</f>
        <v>5000</v>
      </c>
      <c r="D170" s="4"/>
      <c r="E170" s="4">
        <v>5307.21</v>
      </c>
      <c r="F170" s="4"/>
      <c r="G170" s="4">
        <f>SUM(C170-E170)</f>
        <v>-307.21000000000004</v>
      </c>
      <c r="H170" s="4"/>
      <c r="I170" s="4">
        <v>5000</v>
      </c>
      <c r="J170" s="4"/>
      <c r="K170" s="4">
        <f t="shared" si="14"/>
        <v>0</v>
      </c>
      <c r="L170" s="4"/>
      <c r="M170" s="4"/>
    </row>
    <row r="171" spans="1:13" s="1" customFormat="1" ht="30.75" customHeight="1">
      <c r="A171" s="8" t="s">
        <v>149</v>
      </c>
      <c r="B171" s="8"/>
      <c r="C171" s="9">
        <f>((C168)+(C169))+(C170)</f>
        <v>5750</v>
      </c>
      <c r="D171" s="9"/>
      <c r="E171" s="9">
        <f>((E168)+(E169))+(E170)</f>
        <v>6730.68</v>
      </c>
      <c r="F171" s="9"/>
      <c r="G171" s="9">
        <f>SUM(C171-E171)</f>
        <v>-980.68000000000029</v>
      </c>
      <c r="H171" s="9"/>
      <c r="I171" s="9">
        <f>((I168)+(I169))+(I170)</f>
        <v>6500</v>
      </c>
      <c r="J171" s="9"/>
      <c r="K171" s="4">
        <f t="shared" si="14"/>
        <v>750</v>
      </c>
      <c r="L171" s="9"/>
      <c r="M171" s="9"/>
    </row>
    <row r="172" spans="1:13" s="1" customFormat="1" ht="47.25" customHeight="1">
      <c r="A172" s="8" t="s">
        <v>150</v>
      </c>
      <c r="B172" s="8"/>
      <c r="C172" s="9">
        <f>((((((((((((((((((((((((((C103)+(C104))+(C105))+(C106))+(C107))+(C112))+(C115))+(C120))+(C125))+(C126))+(C130))+(C131))+(C132))+(C139))+(C143))+(C144))+(C152))+(C153))+(C154))+(C155))+(C159))+(C160))+(C161))+(C163))+(C166))+(C167))+(C171)</f>
        <v>750849.90999999992</v>
      </c>
      <c r="D172" s="9"/>
      <c r="E172" s="9">
        <f>((((((((((((((((((((((((((E103)+(E104))+(E105))+(E106))+(E107))+(E112))+(E115))+(E120))+(E125))+(E126))+(E130))+(E131))+(E132))+(E139))+(E143))+(E144))+(E152))+(E153))+(E154))+(E155))+(E159))+(E160))+(E161))+(E163))+(E166))+(E167))+(E171)</f>
        <v>736856.14000000013</v>
      </c>
      <c r="F172" s="9"/>
      <c r="G172" s="9">
        <f>SUM(C172-E172)</f>
        <v>13993.769999999786</v>
      </c>
      <c r="H172" s="9"/>
      <c r="I172" s="9">
        <f>((((((((((((((((((((((((((I103)+(I104))+(I105))+(I106))+(I107))+(I112))+(I115))+(I120))+(I125))+(I126))+(I130))+(I131))+(I132))+(I139))+(I143))+(I144))+(I152))+(I153))+(I154))+(I155))+(I159))+(I160))+(I161))+(I163))+(I166))+(I167))+(I171)+I162</f>
        <v>784381.53</v>
      </c>
      <c r="J172" s="9"/>
      <c r="K172" s="4">
        <f t="shared" si="14"/>
        <v>33531.620000000112</v>
      </c>
      <c r="L172" s="9"/>
      <c r="M172" s="9"/>
    </row>
    <row r="173" spans="1:13" ht="18">
      <c r="A173" s="3" t="s">
        <v>151</v>
      </c>
      <c r="B173" s="3"/>
      <c r="C173" s="4">
        <f>(C99)-(C172)</f>
        <v>0</v>
      </c>
      <c r="D173" s="4"/>
      <c r="E173" s="4">
        <f>(E99)-(E172)</f>
        <v>17101.339999999851</v>
      </c>
      <c r="F173" s="4"/>
      <c r="G173" s="4">
        <f>SUM(C173-E173)</f>
        <v>-17101.339999999851</v>
      </c>
      <c r="H173" s="4"/>
      <c r="I173" s="4">
        <f>SUM(I99-I172)</f>
        <v>0</v>
      </c>
      <c r="J173" s="4"/>
      <c r="K173" s="4">
        <f t="shared" si="14"/>
        <v>0</v>
      </c>
      <c r="L173" s="4"/>
      <c r="M173" s="4"/>
    </row>
    <row r="174" spans="1:13" ht="18">
      <c r="A174" s="3" t="s">
        <v>152</v>
      </c>
      <c r="B174" s="3"/>
      <c r="C174" s="4">
        <f>(C173)+(0)</f>
        <v>0</v>
      </c>
      <c r="D174" s="4"/>
      <c r="E174" s="4"/>
      <c r="F174" s="4"/>
      <c r="G174" s="4"/>
      <c r="H174" s="4"/>
      <c r="I174" s="4"/>
      <c r="J174" s="4"/>
      <c r="K174" s="4">
        <f t="shared" si="14"/>
        <v>0</v>
      </c>
      <c r="L174" s="4"/>
      <c r="M174" s="4"/>
    </row>
    <row r="175" spans="1:13" ht="18">
      <c r="A175" s="3"/>
      <c r="B175" s="3"/>
      <c r="C175" s="3"/>
      <c r="D175" s="3"/>
      <c r="E175" s="3"/>
      <c r="F175" s="3"/>
      <c r="G175" s="4"/>
      <c r="H175" s="3"/>
      <c r="I175" s="3"/>
      <c r="J175" s="3"/>
      <c r="K175" s="3"/>
      <c r="L175" s="3"/>
      <c r="M175" s="3"/>
    </row>
    <row r="176" spans="1:13" ht="18">
      <c r="A176" s="3"/>
      <c r="B176" s="3"/>
      <c r="C176" s="3"/>
      <c r="D176" s="3"/>
      <c r="E176" s="3"/>
      <c r="F176" s="3"/>
      <c r="G176" s="4"/>
      <c r="H176" s="3"/>
      <c r="I176" s="3"/>
      <c r="J176" s="3"/>
      <c r="K176" s="3"/>
      <c r="L176" s="3"/>
      <c r="M176" s="3"/>
    </row>
    <row r="177" spans="1:13" ht="18">
      <c r="A177" s="3"/>
      <c r="B177" s="3"/>
      <c r="C177" s="3"/>
      <c r="D177" s="3"/>
      <c r="E177" s="3"/>
      <c r="F177" s="3"/>
      <c r="G177" s="4"/>
      <c r="H177" s="3"/>
      <c r="I177" s="3"/>
      <c r="J177" s="3"/>
      <c r="K177" s="3"/>
      <c r="L177" s="3"/>
      <c r="M177" s="3"/>
    </row>
    <row r="178" spans="1:13">
      <c r="A178" s="38" t="s">
        <v>153</v>
      </c>
      <c r="B178" s="38"/>
      <c r="C178" s="39"/>
      <c r="D178" s="2"/>
      <c r="E178" s="2"/>
      <c r="F178" s="2"/>
      <c r="G178" s="10"/>
      <c r="H178" s="2"/>
      <c r="I178" s="2"/>
      <c r="J178" s="2"/>
      <c r="K178" s="2"/>
      <c r="L178" s="2"/>
      <c r="M178" s="2"/>
    </row>
    <row r="179" spans="1:13">
      <c r="A179" s="2"/>
      <c r="B179" s="2"/>
      <c r="C179" s="2"/>
      <c r="D179" s="2"/>
      <c r="E179" s="2"/>
      <c r="F179" s="2"/>
      <c r="G179" s="10"/>
      <c r="H179" s="2"/>
      <c r="I179" s="2"/>
      <c r="J179" s="2"/>
      <c r="K179" s="2"/>
      <c r="L179" s="2"/>
      <c r="M179" s="2"/>
    </row>
  </sheetData>
  <mergeCells count="4">
    <mergeCell ref="A178:C178"/>
    <mergeCell ref="A1:C1"/>
    <mergeCell ref="A2:C2"/>
    <mergeCell ref="A3:C3"/>
  </mergeCells>
  <pageMargins left="0.7" right="0.7" top="0.75" bottom="0.75" header="0.3" footer="0.3"/>
  <pageSetup paperSize="17" scale="76" fitToHeight="0" orientation="landscape" r:id="rId1"/>
  <headerFooter>
    <oddHeader>&amp;R&amp;"-,Bold"&amp;14VMHA Q1 2023 Budget Adjustment Workbook</oddHeader>
    <oddFooter>&amp;LPrepared by: Patricia Relay&amp;C&amp;F&amp;RPage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C517A-CD8E-4FC4-AB31-207F3942D6F9}">
  <dimension ref="A1:M29"/>
  <sheetViews>
    <sheetView topLeftCell="A8" zoomScale="175" zoomScaleNormal="175" workbookViewId="0">
      <selection activeCell="G20" sqref="G20"/>
    </sheetView>
  </sheetViews>
  <sheetFormatPr defaultRowHeight="15"/>
  <cols>
    <col min="1" max="1" width="24" customWidth="1"/>
    <col min="2" max="2" width="2.7109375" customWidth="1"/>
    <col min="3" max="3" width="12.42578125" customWidth="1"/>
    <col min="4" max="4" width="2.7109375" customWidth="1"/>
    <col min="5" max="5" width="12.42578125" customWidth="1"/>
    <col min="6" max="6" width="2.7109375" customWidth="1"/>
    <col min="7" max="7" width="16" bestFit="1" customWidth="1"/>
    <col min="8" max="8" width="2.7109375" customWidth="1"/>
    <col min="9" max="9" width="17.5703125" bestFit="1" customWidth="1"/>
    <col min="10" max="10" width="2.7109375" customWidth="1"/>
    <col min="11" max="11" width="12.42578125" customWidth="1"/>
    <col min="12" max="12" width="2.7109375" customWidth="1"/>
  </cols>
  <sheetData>
    <row r="1" spans="1:13" ht="38.25" customHeight="1">
      <c r="A1" s="2"/>
      <c r="B1" s="2"/>
      <c r="C1" s="24" t="s">
        <v>191</v>
      </c>
      <c r="D1" s="2"/>
      <c r="E1" s="24" t="s">
        <v>192</v>
      </c>
      <c r="F1" s="2"/>
      <c r="G1" s="24" t="s">
        <v>193</v>
      </c>
      <c r="H1" s="2"/>
      <c r="I1" s="24" t="s">
        <v>194</v>
      </c>
      <c r="J1" s="2"/>
      <c r="K1" s="2" t="s">
        <v>195</v>
      </c>
      <c r="L1" s="2"/>
      <c r="M1" s="2"/>
    </row>
    <row r="2" spans="1:13">
      <c r="A2" s="2" t="s">
        <v>183</v>
      </c>
      <c r="B2" s="2"/>
      <c r="C2" s="25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26" t="s">
        <v>187</v>
      </c>
      <c r="B3" s="2"/>
      <c r="C3" s="10">
        <v>75</v>
      </c>
      <c r="D3" s="10"/>
      <c r="E3" s="10">
        <v>645</v>
      </c>
      <c r="F3" s="10"/>
      <c r="G3" s="10"/>
      <c r="H3" s="10"/>
      <c r="I3" s="10"/>
      <c r="J3" s="10"/>
      <c r="K3" s="10">
        <f>SUM(C3:I3)</f>
        <v>720</v>
      </c>
      <c r="L3" s="10"/>
      <c r="M3" s="2"/>
    </row>
    <row r="4" spans="1:13">
      <c r="A4" s="26" t="s">
        <v>188</v>
      </c>
      <c r="B4" s="2"/>
      <c r="C4" s="10">
        <v>200</v>
      </c>
      <c r="D4" s="10"/>
      <c r="E4" s="10">
        <v>200</v>
      </c>
      <c r="F4" s="10"/>
      <c r="G4" s="10"/>
      <c r="H4" s="10"/>
      <c r="I4" s="10"/>
      <c r="J4" s="10"/>
      <c r="K4" s="10">
        <f>SUM(C4:I4)</f>
        <v>400</v>
      </c>
      <c r="L4" s="10"/>
      <c r="M4" s="2"/>
    </row>
    <row r="5" spans="1:13">
      <c r="A5" s="26" t="s">
        <v>189</v>
      </c>
      <c r="B5" s="2"/>
      <c r="C5" s="10">
        <v>2000</v>
      </c>
      <c r="D5" s="10"/>
      <c r="E5" s="10">
        <v>1130</v>
      </c>
      <c r="F5" s="10"/>
      <c r="G5" s="10"/>
      <c r="H5" s="10"/>
      <c r="I5" s="10"/>
      <c r="J5" s="10"/>
      <c r="K5" s="10">
        <f>SUM(C5:I5)</f>
        <v>3130</v>
      </c>
      <c r="L5" s="10"/>
      <c r="M5" s="2"/>
    </row>
    <row r="6" spans="1:13">
      <c r="A6" s="26" t="s">
        <v>190</v>
      </c>
      <c r="B6" s="2"/>
      <c r="C6" s="10">
        <f>SUM(C3:C5)</f>
        <v>2275</v>
      </c>
      <c r="D6" s="10"/>
      <c r="E6" s="10">
        <f>SUM(E3:E5)</f>
        <v>1975</v>
      </c>
      <c r="F6" s="10"/>
      <c r="G6" s="10">
        <f>SUM(G3:G5)</f>
        <v>0</v>
      </c>
      <c r="H6" s="10"/>
      <c r="I6" s="10">
        <f>SUM(I3:I5)</f>
        <v>0</v>
      </c>
      <c r="J6" s="10"/>
      <c r="K6" s="10">
        <f>SUM(C6:I6)</f>
        <v>4250</v>
      </c>
      <c r="L6" s="10"/>
      <c r="M6" s="2"/>
    </row>
    <row r="7" spans="1:13">
      <c r="A7" s="2" t="s">
        <v>184</v>
      </c>
      <c r="B7" s="2"/>
      <c r="C7" s="10"/>
      <c r="D7" s="10"/>
      <c r="E7" s="10"/>
      <c r="F7" s="10"/>
      <c r="G7" s="10"/>
      <c r="H7" s="10"/>
      <c r="I7" s="10"/>
      <c r="J7" s="10"/>
      <c r="K7" s="10"/>
      <c r="L7" s="10"/>
      <c r="M7" s="2"/>
    </row>
    <row r="8" spans="1:13">
      <c r="A8" s="26" t="s">
        <v>187</v>
      </c>
      <c r="B8" s="2"/>
      <c r="C8" s="10"/>
      <c r="D8" s="10"/>
      <c r="E8" s="10">
        <v>645</v>
      </c>
      <c r="F8" s="10"/>
      <c r="G8" s="10"/>
      <c r="H8" s="10"/>
      <c r="I8" s="10"/>
      <c r="J8" s="10"/>
      <c r="K8" s="10">
        <f>SUM(C8:I8)</f>
        <v>645</v>
      </c>
      <c r="L8" s="10"/>
      <c r="M8" s="2"/>
    </row>
    <row r="9" spans="1:13">
      <c r="A9" s="26" t="s">
        <v>188</v>
      </c>
      <c r="B9" s="2"/>
      <c r="C9" s="10"/>
      <c r="D9" s="10"/>
      <c r="E9" s="10">
        <v>200</v>
      </c>
      <c r="F9" s="10"/>
      <c r="G9" s="10"/>
      <c r="H9" s="10"/>
      <c r="I9" s="10"/>
      <c r="J9" s="10"/>
      <c r="K9" s="10">
        <f>SUM(C9:I9)</f>
        <v>200</v>
      </c>
      <c r="L9" s="10"/>
      <c r="M9" s="2"/>
    </row>
    <row r="10" spans="1:13">
      <c r="A10" s="26" t="s">
        <v>189</v>
      </c>
      <c r="B10" s="2"/>
      <c r="C10" s="10"/>
      <c r="D10" s="10"/>
      <c r="E10" s="10">
        <v>750</v>
      </c>
      <c r="F10" s="10"/>
      <c r="G10" s="10"/>
      <c r="H10" s="10"/>
      <c r="I10" s="10"/>
      <c r="J10" s="10"/>
      <c r="K10" s="10">
        <f>SUM(C10:I10)</f>
        <v>750</v>
      </c>
      <c r="L10" s="10"/>
      <c r="M10" s="2"/>
    </row>
    <row r="11" spans="1:13">
      <c r="A11" s="26" t="s">
        <v>190</v>
      </c>
      <c r="B11" s="2"/>
      <c r="C11" s="10">
        <f>SUM(C8:C10)</f>
        <v>0</v>
      </c>
      <c r="D11" s="10"/>
      <c r="E11" s="10">
        <f>SUM(E8:E10)</f>
        <v>1595</v>
      </c>
      <c r="F11" s="10"/>
      <c r="G11" s="10">
        <f>SUM(G8:G10)</f>
        <v>0</v>
      </c>
      <c r="H11" s="10"/>
      <c r="I11" s="10">
        <f>SUM(I8:I10)</f>
        <v>0</v>
      </c>
      <c r="J11" s="10"/>
      <c r="K11" s="10">
        <f>SUM(C11:I11)</f>
        <v>1595</v>
      </c>
      <c r="L11" s="10"/>
      <c r="M11" s="2"/>
    </row>
    <row r="12" spans="1:13">
      <c r="A12" s="2" t="s">
        <v>185</v>
      </c>
      <c r="B12" s="2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2"/>
    </row>
    <row r="13" spans="1:13">
      <c r="A13" s="26" t="s">
        <v>187</v>
      </c>
      <c r="B13" s="2"/>
      <c r="C13" s="10"/>
      <c r="D13" s="10"/>
      <c r="E13" s="10"/>
      <c r="F13" s="10"/>
      <c r="G13" s="10"/>
      <c r="H13" s="10"/>
      <c r="I13" s="10">
        <v>320</v>
      </c>
      <c r="J13" s="10"/>
      <c r="K13" s="10">
        <f>SUM(C13:I13)</f>
        <v>320</v>
      </c>
      <c r="L13" s="10"/>
      <c r="M13" s="2"/>
    </row>
    <row r="14" spans="1:13">
      <c r="A14" s="26" t="s">
        <v>188</v>
      </c>
      <c r="B14" s="2"/>
      <c r="C14" s="10"/>
      <c r="D14" s="10"/>
      <c r="E14" s="10"/>
      <c r="F14" s="10"/>
      <c r="G14" s="10"/>
      <c r="H14" s="10"/>
      <c r="I14" s="10">
        <v>200</v>
      </c>
      <c r="J14" s="10"/>
      <c r="K14" s="10">
        <f>SUM(C14:I14)</f>
        <v>200</v>
      </c>
      <c r="L14" s="10"/>
      <c r="M14" s="2"/>
    </row>
    <row r="15" spans="1:13">
      <c r="A15" s="26" t="s">
        <v>189</v>
      </c>
      <c r="B15" s="2"/>
      <c r="C15" s="10"/>
      <c r="D15" s="10"/>
      <c r="E15" s="10"/>
      <c r="F15" s="10"/>
      <c r="G15" s="10"/>
      <c r="H15" s="10"/>
      <c r="I15" s="10">
        <v>2500</v>
      </c>
      <c r="J15" s="10"/>
      <c r="K15" s="10">
        <f>SUM(C15:I15)</f>
        <v>2500</v>
      </c>
      <c r="L15" s="10"/>
      <c r="M15" s="2"/>
    </row>
    <row r="16" spans="1:13">
      <c r="A16" s="26" t="s">
        <v>190</v>
      </c>
      <c r="B16" s="2"/>
      <c r="C16" s="10">
        <f>-SUM(C13:C15)</f>
        <v>0</v>
      </c>
      <c r="D16" s="10"/>
      <c r="E16" s="10">
        <f>-SUM(E13:E15)</f>
        <v>0</v>
      </c>
      <c r="F16" s="10"/>
      <c r="G16" s="10"/>
      <c r="H16" s="10"/>
      <c r="I16" s="10">
        <f>SUM(I13:I15)</f>
        <v>3020</v>
      </c>
      <c r="J16" s="10"/>
      <c r="K16" s="10">
        <f>SUM(C16:I16)</f>
        <v>3020</v>
      </c>
      <c r="L16" s="10"/>
      <c r="M16" s="2"/>
    </row>
    <row r="17" spans="1:13">
      <c r="A17" s="2" t="s">
        <v>186</v>
      </c>
      <c r="B17" s="2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2"/>
    </row>
    <row r="18" spans="1:13">
      <c r="A18" s="26" t="s">
        <v>187</v>
      </c>
      <c r="B18" s="2"/>
      <c r="C18" s="10"/>
      <c r="D18" s="10"/>
      <c r="E18" s="10"/>
      <c r="F18" s="10"/>
      <c r="G18" s="10"/>
      <c r="H18" s="10"/>
      <c r="I18" s="10"/>
      <c r="J18" s="10"/>
      <c r="K18" s="10">
        <f>SUM(C18:I18)</f>
        <v>0</v>
      </c>
      <c r="L18" s="10"/>
      <c r="M18" s="2"/>
    </row>
    <row r="19" spans="1:13">
      <c r="A19" s="26" t="s">
        <v>188</v>
      </c>
      <c r="B19" s="2"/>
      <c r="C19" s="10"/>
      <c r="D19" s="10"/>
      <c r="E19" s="10"/>
      <c r="F19" s="10"/>
      <c r="G19" s="10">
        <v>600</v>
      </c>
      <c r="H19" s="10"/>
      <c r="I19" s="10"/>
      <c r="J19" s="10"/>
      <c r="K19" s="10">
        <f>SUM(C19:I19)</f>
        <v>600</v>
      </c>
      <c r="L19" s="10"/>
      <c r="M19" s="2"/>
    </row>
    <row r="20" spans="1:13">
      <c r="A20" s="26" t="s">
        <v>189</v>
      </c>
      <c r="B20" s="2"/>
      <c r="C20" s="10"/>
      <c r="D20" s="10"/>
      <c r="E20" s="10"/>
      <c r="F20" s="10"/>
      <c r="G20" s="10">
        <v>4150</v>
      </c>
      <c r="H20" s="10"/>
      <c r="I20" s="10"/>
      <c r="J20" s="10"/>
      <c r="K20" s="10">
        <f>SUM(C20:I20)</f>
        <v>4150</v>
      </c>
      <c r="L20" s="10"/>
      <c r="M20" s="2"/>
    </row>
    <row r="21" spans="1:13">
      <c r="A21" s="26" t="s">
        <v>190</v>
      </c>
      <c r="B21" s="2"/>
      <c r="C21" s="10">
        <f>SUM(C18:C20)</f>
        <v>0</v>
      </c>
      <c r="D21" s="10"/>
      <c r="E21" s="10">
        <f>SUM(E18:E20)</f>
        <v>0</v>
      </c>
      <c r="F21" s="10"/>
      <c r="G21" s="10">
        <f>SUM(G18:G20)</f>
        <v>4750</v>
      </c>
      <c r="H21" s="10"/>
      <c r="I21" s="10"/>
      <c r="J21" s="10"/>
      <c r="K21" s="10">
        <f>SUM(C21:I21)</f>
        <v>4750</v>
      </c>
      <c r="L21" s="10"/>
      <c r="M21" s="2"/>
    </row>
    <row r="22" spans="1:1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10">
        <f>SUM(K6+K11+K16+K21)</f>
        <v>13615</v>
      </c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 t="s">
        <v>196</v>
      </c>
      <c r="B26" s="2"/>
      <c r="C26" s="10">
        <f>SUM(K3+K8+K13+K18)</f>
        <v>1685</v>
      </c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 t="s">
        <v>188</v>
      </c>
      <c r="B27" s="2"/>
      <c r="C27" s="10">
        <f>SUM(K4+K9+K14+K19)</f>
        <v>1400</v>
      </c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A28" s="2" t="s">
        <v>197</v>
      </c>
      <c r="B28" s="2"/>
      <c r="C28" s="10">
        <f>SUM(K5+K10+K15+K20)</f>
        <v>10530</v>
      </c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94275-EEF2-4850-AFA2-15E8995178FC}">
  <dimension ref="A1:A27"/>
  <sheetViews>
    <sheetView workbookViewId="0">
      <selection activeCell="L8" sqref="L8"/>
    </sheetView>
  </sheetViews>
  <sheetFormatPr defaultRowHeight="15"/>
  <sheetData>
    <row r="1" spans="1:1">
      <c r="A1" s="35" t="s">
        <v>198</v>
      </c>
    </row>
    <row r="2" spans="1:1">
      <c r="A2" s="35" t="s">
        <v>199</v>
      </c>
    </row>
    <row r="3" spans="1:1">
      <c r="A3" s="35"/>
    </row>
    <row r="4" spans="1:1">
      <c r="A4" s="36" t="s">
        <v>200</v>
      </c>
    </row>
    <row r="5" spans="1:1">
      <c r="A5" s="36" t="s">
        <v>201</v>
      </c>
    </row>
    <row r="6" spans="1:1">
      <c r="A6" s="35"/>
    </row>
    <row r="7" spans="1:1">
      <c r="A7" s="36" t="s">
        <v>202</v>
      </c>
    </row>
    <row r="8" spans="1:1">
      <c r="A8" s="35" t="s">
        <v>203</v>
      </c>
    </row>
    <row r="9" spans="1:1">
      <c r="A9" s="36"/>
    </row>
    <row r="10" spans="1:1">
      <c r="A10" s="36" t="s">
        <v>204</v>
      </c>
    </row>
    <row r="11" spans="1:1">
      <c r="A11" s="35" t="s">
        <v>205</v>
      </c>
    </row>
    <row r="12" spans="1:1">
      <c r="A12" s="35" t="s">
        <v>206</v>
      </c>
    </row>
    <row r="13" spans="1:1">
      <c r="A13" s="35" t="s">
        <v>207</v>
      </c>
    </row>
    <row r="14" spans="1:1">
      <c r="A14" s="35"/>
    </row>
    <row r="15" spans="1:1">
      <c r="A15" s="36" t="s">
        <v>208</v>
      </c>
    </row>
    <row r="16" spans="1:1">
      <c r="A16" s="35" t="s">
        <v>209</v>
      </c>
    </row>
    <row r="17" spans="1:1">
      <c r="A17" s="36" t="s">
        <v>210</v>
      </c>
    </row>
    <row r="18" spans="1:1">
      <c r="A18" s="36" t="s">
        <v>211</v>
      </c>
    </row>
    <row r="19" spans="1:1">
      <c r="A19" s="35"/>
    </row>
    <row r="20" spans="1:1">
      <c r="A20" s="36" t="s">
        <v>212</v>
      </c>
    </row>
    <row r="21" spans="1:1">
      <c r="A21" s="35"/>
    </row>
    <row r="22" spans="1:1">
      <c r="A22" s="36" t="s">
        <v>162</v>
      </c>
    </row>
    <row r="23" spans="1:1">
      <c r="A23" s="35" t="s">
        <v>213</v>
      </c>
    </row>
    <row r="24" spans="1:1">
      <c r="A24" s="35"/>
    </row>
    <row r="25" spans="1:1">
      <c r="A25" s="35" t="s">
        <v>214</v>
      </c>
    </row>
    <row r="26" spans="1:1">
      <c r="A26" s="35"/>
    </row>
    <row r="27" spans="1:1">
      <c r="A27" s="35" t="s">
        <v>215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Q1 2023 Budget Adjustment</vt:lpstr>
      <vt:lpstr>Travel Budget</vt:lpstr>
      <vt:lpstr>Caren 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Relay</cp:lastModifiedBy>
  <cp:lastPrinted>2022-12-30T02:10:10Z</cp:lastPrinted>
  <dcterms:created xsi:type="dcterms:W3CDTF">2022-12-29T00:04:24Z</dcterms:created>
  <dcterms:modified xsi:type="dcterms:W3CDTF">2023-02-07T21:59:03Z</dcterms:modified>
</cp:coreProperties>
</file>